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userName="s349016" algorithmName="SHA-512" hashValue="ALhaFE7g870sa0YZbqEmw2GD6CfxgzVZrmgv2JJ2s9QFkM7F3e5IuicO0JOtAkjTRVCRygsIkSwZyQbGILrHYg==" saltValue="sIKlgbnQrfdyQNdpGYUZ6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3 Annual Update\Transco_OKTCo_SWTCo\Filed Documents\"/>
    </mc:Choice>
  </mc:AlternateContent>
  <xr:revisionPtr revIDLastSave="0" documentId="13_ncr:10001_{B610F7A4-F78F-4CB1-B449-07F43CAA8B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208" i="18"/>
  <c r="H81" i="18" l="1"/>
  <c r="H113" i="18"/>
  <c r="H145" i="18"/>
  <c r="H177" i="18"/>
  <c r="H37" i="18"/>
  <c r="H69" i="18"/>
  <c r="H101" i="18"/>
  <c r="H133" i="18"/>
  <c r="H165" i="18"/>
  <c r="H49" i="18"/>
  <c r="H21" i="18"/>
  <c r="H53" i="18"/>
  <c r="H85" i="18"/>
  <c r="H117" i="18"/>
  <c r="H149" i="18"/>
  <c r="H181" i="18"/>
  <c r="H33" i="18"/>
  <c r="H65" i="18"/>
  <c r="H97" i="18"/>
  <c r="H129" i="18"/>
  <c r="H161" i="18"/>
  <c r="H25" i="18"/>
  <c r="H41" i="18"/>
  <c r="H57" i="18"/>
  <c r="H73" i="18"/>
  <c r="H89" i="18"/>
  <c r="H105" i="18"/>
  <c r="H121" i="18"/>
  <c r="H137" i="18"/>
  <c r="H153" i="18"/>
  <c r="H169" i="18"/>
  <c r="H185" i="18"/>
  <c r="H29" i="18"/>
  <c r="H45" i="18"/>
  <c r="H61" i="18"/>
  <c r="H77" i="18"/>
  <c r="H93" i="18"/>
  <c r="H109" i="18"/>
  <c r="H125" i="18"/>
  <c r="H141" i="18"/>
  <c r="H157" i="18"/>
  <c r="H173" i="18"/>
  <c r="H26" i="18"/>
  <c r="H34" i="18"/>
  <c r="H42" i="18"/>
  <c r="H50" i="18"/>
  <c r="H58" i="18"/>
  <c r="H62" i="18"/>
  <c r="H70" i="18"/>
  <c r="H74" i="18"/>
  <c r="H78" i="18"/>
  <c r="H86" i="18"/>
  <c r="H94" i="18"/>
  <c r="H98" i="18"/>
  <c r="H106" i="18"/>
  <c r="H114" i="18"/>
  <c r="H122" i="18"/>
  <c r="H126" i="18"/>
  <c r="H134" i="18"/>
  <c r="H138" i="18"/>
  <c r="H146" i="18"/>
  <c r="H154" i="18"/>
  <c r="H162" i="18"/>
  <c r="H174" i="18"/>
  <c r="H182" i="18"/>
  <c r="H186" i="18"/>
  <c r="H190" i="18"/>
  <c r="H194" i="18"/>
  <c r="H198" i="18"/>
  <c r="H202" i="18"/>
  <c r="H210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89" i="18"/>
  <c r="H193" i="18"/>
  <c r="H197" i="18"/>
  <c r="H201" i="18"/>
  <c r="H205" i="18"/>
  <c r="H209" i="18"/>
  <c r="H22" i="18"/>
  <c r="H30" i="18"/>
  <c r="H38" i="18"/>
  <c r="H46" i="18"/>
  <c r="H54" i="18"/>
  <c r="H66" i="18"/>
  <c r="H82" i="18"/>
  <c r="H90" i="18"/>
  <c r="H102" i="18"/>
  <c r="H110" i="18"/>
  <c r="H118" i="18"/>
  <c r="H130" i="18"/>
  <c r="H142" i="18"/>
  <c r="H150" i="18"/>
  <c r="H158" i="18"/>
  <c r="H166" i="18"/>
  <c r="H170" i="18"/>
  <c r="H178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O191" i="18" l="1"/>
  <c r="K1" i="18"/>
  <c r="O59" i="18"/>
  <c r="P59" i="18" s="1"/>
  <c r="O67" i="18"/>
  <c r="O210" i="18"/>
  <c r="P210" i="18" s="1"/>
  <c r="O202" i="18"/>
  <c r="O178" i="18"/>
  <c r="O146" i="18"/>
  <c r="P146" i="18" s="1"/>
  <c r="O138" i="18"/>
  <c r="O98" i="18"/>
  <c r="O90" i="18"/>
  <c r="P90" i="18" s="1"/>
  <c r="O38" i="18"/>
  <c r="P38" i="18" s="1"/>
  <c r="O209" i="18"/>
  <c r="O181" i="18"/>
  <c r="P181" i="18" s="1"/>
  <c r="O177" i="18"/>
  <c r="P177" i="18" s="1"/>
  <c r="O145" i="18"/>
  <c r="O121" i="18"/>
  <c r="O97" i="18"/>
  <c r="O81" i="18"/>
  <c r="P81" i="18" s="1"/>
  <c r="O73" i="18"/>
  <c r="O49" i="18"/>
  <c r="O25" i="18"/>
  <c r="O208" i="18"/>
  <c r="P208" i="18" s="1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35" i="18" s="1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85" i="18" s="1"/>
  <c r="C97" i="18" s="1"/>
  <c r="C109" i="18" s="1"/>
  <c r="C121" i="18" s="1"/>
  <c r="C133" i="18" s="1"/>
  <c r="C145" i="18" s="1"/>
  <c r="C157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 s="1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63" i="18"/>
  <c r="D35" i="18"/>
  <c r="D37" i="18"/>
  <c r="D40" i="18"/>
  <c r="D52" i="18" s="1"/>
  <c r="D33" i="18"/>
  <c r="D34" i="18"/>
  <c r="D46" i="18" s="1"/>
  <c r="D57" i="18"/>
  <c r="D69" i="18" s="1"/>
  <c r="D45" i="18"/>
  <c r="C49" i="18"/>
  <c r="C73" i="18"/>
  <c r="C57" i="18"/>
  <c r="C81" i="18" s="1"/>
  <c r="C93" i="18" s="1"/>
  <c r="C105" i="18" s="1"/>
  <c r="C117" i="18" s="1"/>
  <c r="C129" i="18" s="1"/>
  <c r="C141" i="18" s="1"/>
  <c r="C153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P173" i="18" s="1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P65" i="18" s="1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O198" i="18"/>
  <c r="P198" i="18"/>
  <c r="O147" i="18"/>
  <c r="O51" i="18"/>
  <c r="O207" i="18"/>
  <c r="O171" i="18"/>
  <c r="P171" i="18" s="1"/>
  <c r="O211" i="18"/>
  <c r="P86" i="18"/>
  <c r="O58" i="18"/>
  <c r="O114" i="18"/>
  <c r="O166" i="18"/>
  <c r="P166" i="18" s="1"/>
  <c r="O83" i="18"/>
  <c r="P83" i="18" s="1"/>
  <c r="O203" i="18"/>
  <c r="P203" i="18" s="1"/>
  <c r="P147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57" i="18"/>
  <c r="P165" i="18"/>
  <c r="P78" i="18"/>
  <c r="D22" i="29"/>
  <c r="E24" i="29"/>
  <c r="G32" i="29"/>
  <c r="E21" i="29"/>
  <c r="H29" i="29"/>
  <c r="E33" i="29"/>
  <c r="E25" i="29"/>
  <c r="H33" i="29"/>
  <c r="E28" i="29"/>
  <c r="G26" i="29"/>
  <c r="G37" i="29"/>
  <c r="E36" i="29"/>
  <c r="G27" i="29"/>
  <c r="D28" i="29"/>
  <c r="E31" i="29"/>
  <c r="G28" i="29"/>
  <c r="D33" i="29"/>
  <c r="H22" i="29"/>
  <c r="H30" i="29"/>
  <c r="D31" i="29"/>
  <c r="H28" i="29"/>
  <c r="D37" i="29"/>
  <c r="G22" i="29"/>
  <c r="E27" i="29"/>
  <c r="D26" i="29"/>
  <c r="G31" i="29"/>
  <c r="H27" i="29"/>
  <c r="D36" i="29"/>
  <c r="D35" i="29"/>
  <c r="D29" i="29"/>
  <c r="D23" i="29"/>
  <c r="H35" i="29"/>
  <c r="H31" i="29"/>
  <c r="E29" i="29"/>
  <c r="E30" i="29"/>
  <c r="G25" i="29"/>
  <c r="E35" i="29"/>
  <c r="G30" i="29"/>
  <c r="H24" i="29"/>
  <c r="E32" i="29"/>
  <c r="D24" i="29"/>
  <c r="G33" i="29"/>
  <c r="G35" i="29"/>
  <c r="H37" i="29"/>
  <c r="D32" i="29"/>
  <c r="E23" i="29"/>
  <c r="H36" i="29"/>
  <c r="H21" i="29"/>
  <c r="D21" i="29"/>
  <c r="E37" i="29"/>
  <c r="D27" i="29"/>
  <c r="G24" i="29"/>
  <c r="E26" i="29"/>
  <c r="G29" i="29"/>
  <c r="H32" i="29"/>
  <c r="H23" i="29"/>
  <c r="D25" i="29"/>
  <c r="G21" i="29"/>
  <c r="H26" i="29"/>
  <c r="G36" i="29"/>
  <c r="G23" i="29"/>
  <c r="D30" i="29"/>
  <c r="H25" i="29"/>
  <c r="E22" i="29"/>
  <c r="C72" i="18" l="1"/>
  <c r="C66" i="18"/>
  <c r="C63" i="18"/>
  <c r="D53" i="18"/>
  <c r="C53" i="18"/>
  <c r="D55" i="18"/>
  <c r="D64" i="18"/>
  <c r="D76" i="18" s="1"/>
  <c r="D54" i="18"/>
  <c r="C58" i="18"/>
  <c r="C69" i="18"/>
  <c r="D81" i="18"/>
  <c r="D93" i="18" s="1"/>
  <c r="D105" i="18" s="1"/>
  <c r="D117" i="18" s="1"/>
  <c r="D129" i="18" s="1"/>
  <c r="D141" i="18" s="1"/>
  <c r="D153" i="18" s="1"/>
  <c r="D165" i="18" s="1"/>
  <c r="D77" i="18"/>
  <c r="D48" i="18"/>
  <c r="C71" i="18"/>
  <c r="D62" i="18"/>
  <c r="D74" i="18" s="1"/>
  <c r="J38" i="29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F28" i="29"/>
  <c r="I28" i="29" s="1"/>
  <c r="K28" i="29" s="1"/>
  <c r="F26" i="29"/>
  <c r="I26" i="29" s="1"/>
  <c r="K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J34" i="29"/>
  <c r="J39" i="29" s="1"/>
  <c r="D168" i="18"/>
  <c r="D180" i="18"/>
  <c r="D192" i="18" s="1"/>
  <c r="D204" i="18" s="1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P101" i="18" s="1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12" i="18"/>
  <c r="P132" i="18"/>
  <c r="P155" i="18"/>
  <c r="P178" i="18"/>
  <c r="P25" i="18"/>
  <c r="P49" i="18"/>
  <c r="P73" i="18"/>
  <c r="H39" i="29" l="1"/>
  <c r="D88" i="18"/>
  <c r="D100" i="18" s="1"/>
  <c r="D112" i="18" s="1"/>
  <c r="D124" i="18" s="1"/>
  <c r="D136" i="18" s="1"/>
  <c r="D148" i="18" s="1"/>
  <c r="D160" i="18" s="1"/>
  <c r="D184" i="18" s="1"/>
  <c r="D196" i="18" s="1"/>
  <c r="D208" i="18" s="1"/>
  <c r="D86" i="18"/>
  <c r="D98" i="18" s="1"/>
  <c r="D110" i="18" s="1"/>
  <c r="D122" i="18" s="1"/>
  <c r="D134" i="18" s="1"/>
  <c r="D146" i="18" s="1"/>
  <c r="D158" i="18" s="1"/>
  <c r="D170" i="18" s="1"/>
  <c r="C90" i="18"/>
  <c r="C102" i="18" s="1"/>
  <c r="C114" i="18" s="1"/>
  <c r="C126" i="18" s="1"/>
  <c r="C138" i="18" s="1"/>
  <c r="C150" i="18" s="1"/>
  <c r="C162" i="18" s="1"/>
  <c r="C78" i="18"/>
  <c r="D182" i="18"/>
  <c r="D194" i="18" s="1"/>
  <c r="D206" i="18" s="1"/>
  <c r="D177" i="18"/>
  <c r="D189" i="18" s="1"/>
  <c r="D201" i="18" s="1"/>
  <c r="E39" i="29"/>
  <c r="O13" i="18"/>
  <c r="D172" i="18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C174" i="18" l="1"/>
  <c r="C186" i="18"/>
  <c r="C198" i="18" s="1"/>
  <c r="C210" i="18" s="1"/>
  <c r="F39" i="29"/>
  <c r="D178" i="18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 l="1"/>
  <c r="K172" i="18" l="1"/>
  <c r="K124" i="18"/>
  <c r="K76" i="18"/>
  <c r="K207" i="18"/>
  <c r="K159" i="18"/>
  <c r="K115" i="18"/>
  <c r="K63" i="18"/>
  <c r="K186" i="18"/>
  <c r="K102" i="18"/>
  <c r="K173" i="18"/>
  <c r="K113" i="18"/>
  <c r="K199" i="18"/>
  <c r="K151" i="18"/>
  <c r="K99" i="18"/>
  <c r="K55" i="18"/>
  <c r="K126" i="18"/>
  <c r="K209" i="18"/>
  <c r="K89" i="18"/>
  <c r="K148" i="18"/>
  <c r="K183" i="18"/>
  <c r="K43" i="18"/>
  <c r="K137" i="18"/>
  <c r="K171" i="18"/>
  <c r="K79" i="18"/>
  <c r="K78" i="18"/>
  <c r="K41" i="18"/>
  <c r="K184" i="18"/>
  <c r="K88" i="18"/>
  <c r="K40" i="18"/>
  <c r="K123" i="18"/>
  <c r="K198" i="18"/>
  <c r="K197" i="18"/>
  <c r="K125" i="18"/>
  <c r="K163" i="18"/>
  <c r="K111" i="18"/>
  <c r="K67" i="18"/>
  <c r="K54" i="18"/>
  <c r="K210" i="18"/>
  <c r="K208" i="18"/>
  <c r="K160" i="18"/>
  <c r="K112" i="18"/>
  <c r="K64" i="18"/>
  <c r="K195" i="18"/>
  <c r="K147" i="18"/>
  <c r="K103" i="18"/>
  <c r="K51" i="18"/>
  <c r="K162" i="18"/>
  <c r="K66" i="18"/>
  <c r="K161" i="18"/>
  <c r="K77" i="18"/>
  <c r="K187" i="18"/>
  <c r="K135" i="18"/>
  <c r="K91" i="18"/>
  <c r="K39" i="18"/>
  <c r="K90" i="18"/>
  <c r="K185" i="18"/>
  <c r="K65" i="18"/>
  <c r="K196" i="18"/>
  <c r="K100" i="18"/>
  <c r="K52" i="18"/>
  <c r="K139" i="18"/>
  <c r="K87" i="18"/>
  <c r="K138" i="18"/>
  <c r="K42" i="18"/>
  <c r="K53" i="18"/>
  <c r="K127" i="18"/>
  <c r="K174" i="18"/>
  <c r="K149" i="18"/>
  <c r="K136" i="18"/>
  <c r="K175" i="18"/>
  <c r="K75" i="18"/>
  <c r="K114" i="18"/>
  <c r="K211" i="18"/>
  <c r="K150" i="18"/>
  <c r="K101" i="18"/>
  <c r="K31" i="18"/>
  <c r="K30" i="18"/>
  <c r="K27" i="18"/>
  <c r="E13" i="29"/>
  <c r="K29" i="18"/>
  <c r="K28" i="18"/>
  <c r="K203" i="18"/>
  <c r="K60" i="18"/>
  <c r="K121" i="18"/>
  <c r="K178" i="18"/>
  <c r="K26" i="18"/>
  <c r="K57" i="18"/>
  <c r="K83" i="18"/>
  <c r="K109" i="18"/>
  <c r="K140" i="18"/>
  <c r="K166" i="18"/>
  <c r="K192" i="18"/>
  <c r="K34" i="18"/>
  <c r="K82" i="18"/>
  <c r="K130" i="18"/>
  <c r="K182" i="18"/>
  <c r="K36" i="18"/>
  <c r="K62" i="18"/>
  <c r="K93" i="18"/>
  <c r="K119" i="18"/>
  <c r="K145" i="18"/>
  <c r="K176" i="18"/>
  <c r="K202" i="18"/>
  <c r="K33" i="18"/>
  <c r="K59" i="18"/>
  <c r="K85" i="18"/>
  <c r="K116" i="18"/>
  <c r="K142" i="18"/>
  <c r="K168" i="18"/>
  <c r="K194" i="18"/>
  <c r="K25" i="18"/>
  <c r="K204" i="18"/>
  <c r="K44" i="18"/>
  <c r="K96" i="18"/>
  <c r="K179" i="18"/>
  <c r="K56" i="18"/>
  <c r="K23" i="18"/>
  <c r="K49" i="18"/>
  <c r="K106" i="18"/>
  <c r="K189" i="18"/>
  <c r="K46" i="18"/>
  <c r="K98" i="18"/>
  <c r="K129" i="18"/>
  <c r="K181" i="18"/>
  <c r="K38" i="18"/>
  <c r="K108" i="18"/>
  <c r="K165" i="18"/>
  <c r="K22" i="18"/>
  <c r="K48" i="18"/>
  <c r="K74" i="18"/>
  <c r="K105" i="18"/>
  <c r="K131" i="18"/>
  <c r="K157" i="18"/>
  <c r="K188" i="18"/>
  <c r="K21" i="18"/>
  <c r="K69" i="18"/>
  <c r="K117" i="18"/>
  <c r="K169" i="18"/>
  <c r="K32" i="18"/>
  <c r="K58" i="18"/>
  <c r="K84" i="18"/>
  <c r="K110" i="18"/>
  <c r="K141" i="18"/>
  <c r="K167" i="18"/>
  <c r="K193" i="18"/>
  <c r="K50" i="18"/>
  <c r="K81" i="18"/>
  <c r="K107" i="18"/>
  <c r="K133" i="18"/>
  <c r="K164" i="18"/>
  <c r="K190" i="18"/>
  <c r="K73" i="18"/>
  <c r="K134" i="18"/>
  <c r="K191" i="18"/>
  <c r="K35" i="18"/>
  <c r="K61" i="18"/>
  <c r="K92" i="18"/>
  <c r="K118" i="18"/>
  <c r="K144" i="18"/>
  <c r="K170" i="18"/>
  <c r="K201" i="18"/>
  <c r="K47" i="18"/>
  <c r="K95" i="18"/>
  <c r="K143" i="18"/>
  <c r="K200" i="18"/>
  <c r="K45" i="18"/>
  <c r="K71" i="18"/>
  <c r="K97" i="18"/>
  <c r="K128" i="18"/>
  <c r="K154" i="18"/>
  <c r="K180" i="18"/>
  <c r="K206" i="18"/>
  <c r="K37" i="18"/>
  <c r="K68" i="18"/>
  <c r="K94" i="18"/>
  <c r="K120" i="18"/>
  <c r="K146" i="18"/>
  <c r="K177" i="18"/>
  <c r="K86" i="18"/>
  <c r="K152" i="18"/>
  <c r="K70" i="18"/>
  <c r="K122" i="18"/>
  <c r="K153" i="18"/>
  <c r="K205" i="18"/>
  <c r="K104" i="18"/>
  <c r="K156" i="18"/>
  <c r="K80" i="18"/>
  <c r="K132" i="18"/>
  <c r="K158" i="18"/>
  <c r="K20" i="18"/>
  <c r="K72" i="18"/>
  <c r="K155" i="18"/>
  <c r="K24" i="18"/>
  <c r="K14" i="18" l="1"/>
  <c r="K212" i="18"/>
  <c r="K13" i="18"/>
  <c r="F12" i="29" l="1"/>
  <c r="I81" i="18" l="1"/>
  <c r="J81" i="18" s="1"/>
  <c r="L81" i="18" s="1"/>
  <c r="I42" i="18"/>
  <c r="J42" i="18" s="1"/>
  <c r="L42" i="18" s="1"/>
  <c r="I36" i="18"/>
  <c r="J36" i="18" s="1"/>
  <c r="L36" i="18" s="1"/>
  <c r="I179" i="18"/>
  <c r="J179" i="18" s="1"/>
  <c r="L179" i="18" s="1"/>
  <c r="I171" i="18"/>
  <c r="J171" i="18" s="1"/>
  <c r="L171" i="18" s="1"/>
  <c r="I189" i="18"/>
  <c r="J189" i="18" s="1"/>
  <c r="L189" i="18" s="1"/>
  <c r="I134" i="18"/>
  <c r="J134" i="18" s="1"/>
  <c r="L134" i="18" s="1"/>
  <c r="I61" i="18"/>
  <c r="J61" i="18" s="1"/>
  <c r="L61" i="18" s="1"/>
  <c r="I111" i="18"/>
  <c r="J111" i="18" s="1"/>
  <c r="L111" i="18" s="1"/>
  <c r="I116" i="18"/>
  <c r="J116" i="18" s="1"/>
  <c r="L116" i="18" s="1"/>
  <c r="I92" i="18"/>
  <c r="J92" i="18" s="1"/>
  <c r="L92" i="18" s="1"/>
  <c r="I161" i="18"/>
  <c r="J161" i="18" s="1"/>
  <c r="L161" i="18" s="1"/>
  <c r="I50" i="18"/>
  <c r="J50" i="18" s="1"/>
  <c r="L50" i="18" s="1"/>
  <c r="I22" i="18"/>
  <c r="J22" i="18" s="1"/>
  <c r="L22" i="18" s="1"/>
  <c r="I57" i="18"/>
  <c r="J57" i="18" s="1"/>
  <c r="L57" i="18" s="1"/>
  <c r="I62" i="18"/>
  <c r="J62" i="18" s="1"/>
  <c r="L62" i="18" s="1"/>
  <c r="I204" i="18"/>
  <c r="J204" i="18" s="1"/>
  <c r="L204" i="18" s="1"/>
  <c r="I105" i="18"/>
  <c r="J105" i="18" s="1"/>
  <c r="L105" i="18" s="1"/>
  <c r="I193" i="18"/>
  <c r="J193" i="18" s="1"/>
  <c r="L193" i="18" s="1"/>
  <c r="I142" i="18"/>
  <c r="J142" i="18" s="1"/>
  <c r="L142" i="18" s="1"/>
  <c r="I23" i="18"/>
  <c r="J23" i="18" s="1"/>
  <c r="L23" i="18" s="1"/>
  <c r="I37" i="18"/>
  <c r="J37" i="18" s="1"/>
  <c r="L37" i="18" s="1"/>
  <c r="I32" i="18"/>
  <c r="J32" i="18" s="1"/>
  <c r="L32" i="18" s="1"/>
  <c r="I149" i="18"/>
  <c r="J149" i="18" s="1"/>
  <c r="L149" i="18" s="1"/>
  <c r="I210" i="18"/>
  <c r="J210" i="18" s="1"/>
  <c r="L210" i="18" s="1"/>
  <c r="I44" i="18"/>
  <c r="J44" i="18" s="1"/>
  <c r="L44" i="18" s="1"/>
  <c r="I67" i="18"/>
  <c r="J67" i="18" s="1"/>
  <c r="L67" i="18" s="1"/>
  <c r="I135" i="18"/>
  <c r="J135" i="18" s="1"/>
  <c r="L135" i="18" s="1"/>
  <c r="I43" i="18"/>
  <c r="J43" i="18" s="1"/>
  <c r="L43" i="18" s="1"/>
  <c r="I55" i="18"/>
  <c r="J55" i="18" s="1"/>
  <c r="L55" i="18" s="1"/>
  <c r="I172" i="18"/>
  <c r="J172" i="18" s="1"/>
  <c r="L172" i="18" s="1"/>
  <c r="I144" i="18"/>
  <c r="J144" i="18" s="1"/>
  <c r="L144" i="18" s="1"/>
  <c r="I163" i="18"/>
  <c r="J163" i="18" s="1"/>
  <c r="L163" i="18" s="1"/>
  <c r="I182" i="18"/>
  <c r="J182" i="18" s="1"/>
  <c r="L182" i="18" s="1"/>
  <c r="I85" i="18"/>
  <c r="J85" i="18" s="1"/>
  <c r="L85" i="18" s="1"/>
  <c r="I82" i="18"/>
  <c r="J82" i="18" s="1"/>
  <c r="L82" i="18" s="1"/>
  <c r="I103" i="18"/>
  <c r="J103" i="18" s="1"/>
  <c r="L103" i="18" s="1"/>
  <c r="I120" i="18"/>
  <c r="J120" i="18" s="1"/>
  <c r="L120" i="18" s="1"/>
  <c r="I73" i="18"/>
  <c r="J73" i="18" s="1"/>
  <c r="L73" i="18" s="1"/>
  <c r="I28" i="18"/>
  <c r="J28" i="18" s="1"/>
  <c r="L28" i="18" s="1"/>
  <c r="I165" i="18"/>
  <c r="J165" i="18" s="1"/>
  <c r="L165" i="18" s="1"/>
  <c r="I170" i="18"/>
  <c r="J170" i="18" s="1"/>
  <c r="L170" i="18" s="1"/>
  <c r="I147" i="18"/>
  <c r="J147" i="18" s="1"/>
  <c r="L147" i="18" s="1"/>
  <c r="I46" i="18"/>
  <c r="J46" i="18" s="1"/>
  <c r="L46" i="18" s="1"/>
  <c r="I122" i="18"/>
  <c r="J122" i="18" s="1"/>
  <c r="L122" i="18" s="1"/>
  <c r="I194" i="18"/>
  <c r="J194" i="18" s="1"/>
  <c r="L194" i="18" s="1"/>
  <c r="I211" i="18"/>
  <c r="J211" i="18" s="1"/>
  <c r="L211" i="18" s="1"/>
  <c r="I63" i="18"/>
  <c r="J63" i="18" s="1"/>
  <c r="L63" i="18" s="1"/>
  <c r="I167" i="18"/>
  <c r="J167" i="18" s="1"/>
  <c r="L167" i="18" s="1"/>
  <c r="I88" i="18"/>
  <c r="J88" i="18" s="1"/>
  <c r="L88" i="18" s="1"/>
  <c r="I141" i="18"/>
  <c r="J141" i="18" s="1"/>
  <c r="L141" i="18" s="1"/>
  <c r="I106" i="18"/>
  <c r="J106" i="18" s="1"/>
  <c r="L106" i="18" s="1"/>
  <c r="I200" i="18"/>
  <c r="J200" i="18" s="1"/>
  <c r="L200" i="18" s="1"/>
  <c r="I143" i="18"/>
  <c r="J143" i="18" s="1"/>
  <c r="L143" i="18" s="1"/>
  <c r="I114" i="18"/>
  <c r="J114" i="18" s="1"/>
  <c r="L114" i="18" s="1"/>
  <c r="I35" i="18"/>
  <c r="J35" i="18" s="1"/>
  <c r="L35" i="18" s="1"/>
  <c r="I124" i="18"/>
  <c r="J124" i="18" s="1"/>
  <c r="L124" i="18" s="1"/>
  <c r="I71" i="18"/>
  <c r="J71" i="18" s="1"/>
  <c r="L71" i="18" s="1"/>
  <c r="I191" i="18"/>
  <c r="J191" i="18" s="1"/>
  <c r="L191" i="18" s="1"/>
  <c r="I152" i="18"/>
  <c r="J152" i="18" s="1"/>
  <c r="L152" i="18" s="1"/>
  <c r="I132" i="18"/>
  <c r="J132" i="18" s="1"/>
  <c r="L132" i="18" s="1"/>
  <c r="I27" i="18"/>
  <c r="J27" i="18" s="1"/>
  <c r="L27" i="18" s="1"/>
  <c r="I49" i="18"/>
  <c r="J49" i="18" s="1"/>
  <c r="L49" i="18" s="1"/>
  <c r="I75" i="18"/>
  <c r="J75" i="18" s="1"/>
  <c r="L75" i="18" s="1"/>
  <c r="I185" i="18"/>
  <c r="J185" i="18" s="1"/>
  <c r="L185" i="18" s="1"/>
  <c r="I107" i="18"/>
  <c r="J107" i="18" s="1"/>
  <c r="L107" i="18" s="1"/>
  <c r="I41" i="18"/>
  <c r="J41" i="18" s="1"/>
  <c r="L41" i="18" s="1"/>
  <c r="I110" i="18"/>
  <c r="J110" i="18" s="1"/>
  <c r="L110" i="18" s="1"/>
  <c r="I95" i="18"/>
  <c r="J95" i="18" s="1"/>
  <c r="L95" i="18" s="1"/>
  <c r="F14" i="29"/>
  <c r="I190" i="18"/>
  <c r="J190" i="18" s="1"/>
  <c r="L190" i="18" s="1"/>
  <c r="I159" i="18"/>
  <c r="J159" i="18" s="1"/>
  <c r="L159" i="18" s="1"/>
  <c r="I207" i="18"/>
  <c r="J207" i="18" s="1"/>
  <c r="L207" i="18" s="1"/>
  <c r="I155" i="18"/>
  <c r="J155" i="18" s="1"/>
  <c r="L155" i="18" s="1"/>
  <c r="I203" i="18"/>
  <c r="J203" i="18" s="1"/>
  <c r="L203" i="18" s="1"/>
  <c r="I181" i="18"/>
  <c r="J181" i="18" s="1"/>
  <c r="L181" i="18" s="1"/>
  <c r="I208" i="18"/>
  <c r="J208" i="18" s="1"/>
  <c r="L208" i="18" s="1"/>
  <c r="I25" i="18"/>
  <c r="J25" i="18" s="1"/>
  <c r="L25" i="18" s="1"/>
  <c r="I83" i="18"/>
  <c r="J83" i="18" s="1"/>
  <c r="L83" i="18" s="1"/>
  <c r="I84" i="18"/>
  <c r="J84" i="18" s="1"/>
  <c r="L84" i="18" s="1"/>
  <c r="I131" i="18"/>
  <c r="J131" i="18" s="1"/>
  <c r="L131" i="18" s="1"/>
  <c r="I188" i="18"/>
  <c r="J188" i="18" s="1"/>
  <c r="L188" i="18" s="1"/>
  <c r="I29" i="18"/>
  <c r="J29" i="18" s="1"/>
  <c r="L29" i="18" s="1"/>
  <c r="I38" i="18"/>
  <c r="J38" i="18" s="1"/>
  <c r="L38" i="18" s="1"/>
  <c r="I195" i="18"/>
  <c r="J195" i="18" s="1"/>
  <c r="L195" i="18" s="1"/>
  <c r="I79" i="18"/>
  <c r="J79" i="18" s="1"/>
  <c r="L79" i="18" s="1"/>
  <c r="I153" i="18"/>
  <c r="J153" i="18" s="1"/>
  <c r="L153" i="18" s="1"/>
  <c r="I47" i="18"/>
  <c r="J47" i="18" s="1"/>
  <c r="L47" i="18" s="1"/>
  <c r="I66" i="18"/>
  <c r="J66" i="18" s="1"/>
  <c r="L66" i="18" s="1"/>
  <c r="I34" i="18"/>
  <c r="J34" i="18" s="1"/>
  <c r="L34" i="18" s="1"/>
  <c r="I127" i="18"/>
  <c r="J127" i="18" s="1"/>
  <c r="L127" i="18" s="1"/>
  <c r="I196" i="18"/>
  <c r="J196" i="18" s="1"/>
  <c r="L196" i="18" s="1"/>
  <c r="I146" i="18"/>
  <c r="J146" i="18" s="1"/>
  <c r="L146" i="18" s="1"/>
  <c r="I158" i="18"/>
  <c r="J158" i="18" s="1"/>
  <c r="L158" i="18" s="1"/>
  <c r="I52" i="18"/>
  <c r="J52" i="18" s="1"/>
  <c r="L52" i="18" s="1"/>
  <c r="I205" i="18"/>
  <c r="J205" i="18" s="1"/>
  <c r="L205" i="18" s="1"/>
  <c r="I206" i="18"/>
  <c r="J206" i="18" s="1"/>
  <c r="L206" i="18" s="1"/>
  <c r="I94" i="18"/>
  <c r="J94" i="18" s="1"/>
  <c r="L94" i="18" s="1"/>
  <c r="I140" i="18"/>
  <c r="J140" i="18" s="1"/>
  <c r="L140" i="18" s="1"/>
  <c r="I80" i="18"/>
  <c r="J80" i="18" s="1"/>
  <c r="L80" i="18" s="1"/>
  <c r="I76" i="18"/>
  <c r="J76" i="18" s="1"/>
  <c r="L76" i="18" s="1"/>
  <c r="I97" i="18"/>
  <c r="J97" i="18" s="1"/>
  <c r="L97" i="18" s="1"/>
  <c r="I31" i="18"/>
  <c r="J31" i="18" s="1"/>
  <c r="L31" i="18" s="1"/>
  <c r="I176" i="18"/>
  <c r="J176" i="18" s="1"/>
  <c r="L176" i="18" s="1"/>
  <c r="I98" i="18"/>
  <c r="J98" i="18" s="1"/>
  <c r="L98" i="18" s="1"/>
  <c r="I117" i="18"/>
  <c r="J117" i="18" s="1"/>
  <c r="L117" i="18" s="1"/>
  <c r="I184" i="18"/>
  <c r="J184" i="18" s="1"/>
  <c r="L184" i="18" s="1"/>
  <c r="I89" i="18"/>
  <c r="J89" i="18" s="1"/>
  <c r="L89" i="18" s="1"/>
  <c r="I175" i="18"/>
  <c r="J175" i="18" s="1"/>
  <c r="L175" i="18" s="1"/>
  <c r="I54" i="18"/>
  <c r="J54" i="18" s="1"/>
  <c r="L54" i="18" s="1"/>
  <c r="I59" i="18"/>
  <c r="J59" i="18" s="1"/>
  <c r="L59" i="18" s="1"/>
  <c r="I77" i="18"/>
  <c r="J77" i="18" s="1"/>
  <c r="L77" i="18" s="1"/>
  <c r="I180" i="18"/>
  <c r="J180" i="18" s="1"/>
  <c r="L180" i="18" s="1"/>
  <c r="I199" i="18"/>
  <c r="J199" i="18" s="1"/>
  <c r="L199" i="18" s="1"/>
  <c r="I133" i="18"/>
  <c r="J133" i="18" s="1"/>
  <c r="L133" i="18" s="1"/>
  <c r="I99" i="18"/>
  <c r="J99" i="18" s="1"/>
  <c r="L99" i="18" s="1"/>
  <c r="I178" i="18"/>
  <c r="J178" i="18" s="1"/>
  <c r="L178" i="18" s="1"/>
  <c r="I162" i="18"/>
  <c r="J162" i="18" s="1"/>
  <c r="L162" i="18" s="1"/>
  <c r="I60" i="18"/>
  <c r="J60" i="18" s="1"/>
  <c r="L60" i="18" s="1"/>
  <c r="I177" i="18"/>
  <c r="J177" i="18" s="1"/>
  <c r="L177" i="18" s="1"/>
  <c r="I51" i="18"/>
  <c r="J51" i="18" s="1"/>
  <c r="L51" i="18" s="1"/>
  <c r="I69" i="18"/>
  <c r="J69" i="18" s="1"/>
  <c r="L69" i="18" s="1"/>
  <c r="I102" i="18"/>
  <c r="J102" i="18" s="1"/>
  <c r="L102" i="18" s="1"/>
  <c r="I173" i="18"/>
  <c r="J173" i="18" s="1"/>
  <c r="L173" i="18" s="1"/>
  <c r="I148" i="18"/>
  <c r="J148" i="18" s="1"/>
  <c r="L148" i="18" s="1"/>
  <c r="I56" i="18"/>
  <c r="J56" i="18" s="1"/>
  <c r="I197" i="18"/>
  <c r="J197" i="18" s="1"/>
  <c r="L197" i="18" s="1"/>
  <c r="I138" i="18"/>
  <c r="J138" i="18" s="1"/>
  <c r="L138" i="18" s="1"/>
  <c r="I174" i="18"/>
  <c r="J174" i="18" s="1"/>
  <c r="L174" i="18" s="1"/>
  <c r="I198" i="18"/>
  <c r="J198" i="18" s="1"/>
  <c r="L198" i="18" s="1"/>
  <c r="I112" i="18"/>
  <c r="J112" i="18" s="1"/>
  <c r="L112" i="18" s="1"/>
  <c r="I65" i="18"/>
  <c r="J65" i="18" s="1"/>
  <c r="L65" i="18" s="1"/>
  <c r="I72" i="18"/>
  <c r="J72" i="18" s="1"/>
  <c r="L72" i="18" s="1"/>
  <c r="I125" i="18"/>
  <c r="J125" i="18" s="1"/>
  <c r="L125" i="18" s="1"/>
  <c r="I202" i="18"/>
  <c r="J202" i="18" s="1"/>
  <c r="L202" i="18" s="1"/>
  <c r="I74" i="18"/>
  <c r="J74" i="18" s="1"/>
  <c r="L74" i="18" s="1"/>
  <c r="I33" i="18"/>
  <c r="J33" i="18" s="1"/>
  <c r="L33" i="18" s="1"/>
  <c r="I90" i="18"/>
  <c r="J90" i="18" s="1"/>
  <c r="L90" i="18" s="1"/>
  <c r="I78" i="18"/>
  <c r="J78" i="18" s="1"/>
  <c r="L78" i="18" s="1"/>
  <c r="I20" i="18"/>
  <c r="J20" i="18" s="1"/>
  <c r="I119" i="18"/>
  <c r="J119" i="18" s="1"/>
  <c r="L119" i="18" s="1"/>
  <c r="I168" i="18"/>
  <c r="J168" i="18" s="1"/>
  <c r="L168" i="18" s="1"/>
  <c r="I156" i="18"/>
  <c r="J156" i="18" s="1"/>
  <c r="L156" i="18" s="1"/>
  <c r="I30" i="18"/>
  <c r="J30" i="18" s="1"/>
  <c r="L30" i="18" s="1"/>
  <c r="I183" i="18"/>
  <c r="J183" i="18" s="1"/>
  <c r="L183" i="18" s="1"/>
  <c r="I192" i="18"/>
  <c r="J192" i="18" s="1"/>
  <c r="L192" i="18" s="1"/>
  <c r="I39" i="18"/>
  <c r="J39" i="18" s="1"/>
  <c r="L39" i="18" s="1"/>
  <c r="I104" i="18"/>
  <c r="J104" i="18" s="1"/>
  <c r="L104" i="18" s="1"/>
  <c r="I108" i="18"/>
  <c r="J108" i="18" s="1"/>
  <c r="L108" i="18" s="1"/>
  <c r="I187" i="18"/>
  <c r="J187" i="18" s="1"/>
  <c r="L187" i="18" s="1"/>
  <c r="I137" i="18"/>
  <c r="J137" i="18" s="1"/>
  <c r="L137" i="18" s="1"/>
  <c r="I157" i="18"/>
  <c r="J157" i="18" s="1"/>
  <c r="L157" i="18" s="1"/>
  <c r="I68" i="18"/>
  <c r="J68" i="18" s="1"/>
  <c r="L68" i="18" s="1"/>
  <c r="I53" i="18"/>
  <c r="J53" i="18" s="1"/>
  <c r="L53" i="18" s="1"/>
  <c r="I113" i="18"/>
  <c r="J113" i="18" s="1"/>
  <c r="L113" i="18" s="1"/>
  <c r="I129" i="18"/>
  <c r="J129" i="18" s="1"/>
  <c r="L129" i="18" s="1"/>
  <c r="I151" i="18"/>
  <c r="J151" i="18" s="1"/>
  <c r="L151" i="18" s="1"/>
  <c r="I48" i="18"/>
  <c r="J48" i="18" s="1"/>
  <c r="L48" i="18" s="1"/>
  <c r="I26" i="18"/>
  <c r="J26" i="18" s="1"/>
  <c r="L26" i="18" s="1"/>
  <c r="I21" i="18"/>
  <c r="J21" i="18" s="1"/>
  <c r="L21" i="18" s="1"/>
  <c r="I118" i="18"/>
  <c r="J118" i="18" s="1"/>
  <c r="L118" i="18" s="1"/>
  <c r="I100" i="18"/>
  <c r="J100" i="18" s="1"/>
  <c r="L100" i="18" s="1"/>
  <c r="I145" i="18"/>
  <c r="J145" i="18" s="1"/>
  <c r="L145" i="18" s="1"/>
  <c r="I121" i="18"/>
  <c r="J121" i="18" s="1"/>
  <c r="L121" i="18" s="1"/>
  <c r="I123" i="18"/>
  <c r="J123" i="18" s="1"/>
  <c r="L123" i="18" s="1"/>
  <c r="I209" i="18"/>
  <c r="J209" i="18" s="1"/>
  <c r="L209" i="18" s="1"/>
  <c r="I201" i="18"/>
  <c r="J201" i="18" s="1"/>
  <c r="L201" i="18" s="1"/>
  <c r="I24" i="18"/>
  <c r="J24" i="18" s="1"/>
  <c r="L24" i="18" s="1"/>
  <c r="I93" i="18"/>
  <c r="J93" i="18" s="1"/>
  <c r="L93" i="18" s="1"/>
  <c r="I139" i="18"/>
  <c r="J139" i="18" s="1"/>
  <c r="L139" i="18" s="1"/>
  <c r="I101" i="18"/>
  <c r="J101" i="18" s="1"/>
  <c r="L101" i="18" s="1"/>
  <c r="I70" i="18"/>
  <c r="J70" i="18" s="1"/>
  <c r="L70" i="18" s="1"/>
  <c r="I64" i="18"/>
  <c r="J64" i="18" s="1"/>
  <c r="L64" i="18" s="1"/>
  <c r="I58" i="18"/>
  <c r="J58" i="18" s="1"/>
  <c r="L58" i="18" s="1"/>
  <c r="I91" i="18"/>
  <c r="J91" i="18" s="1"/>
  <c r="L91" i="18" s="1"/>
  <c r="I87" i="18"/>
  <c r="J87" i="18" s="1"/>
  <c r="L87" i="18" s="1"/>
  <c r="I86" i="18"/>
  <c r="J86" i="18" s="1"/>
  <c r="L86" i="18" s="1"/>
  <c r="I186" i="18"/>
  <c r="J186" i="18" s="1"/>
  <c r="L186" i="18" s="1"/>
  <c r="I128" i="18"/>
  <c r="J128" i="18" s="1"/>
  <c r="L128" i="18" s="1"/>
  <c r="I160" i="18"/>
  <c r="J160" i="18" s="1"/>
  <c r="L160" i="18" s="1"/>
  <c r="I115" i="18"/>
  <c r="J115" i="18" s="1"/>
  <c r="L115" i="18" s="1"/>
  <c r="I130" i="18"/>
  <c r="J130" i="18" s="1"/>
  <c r="L130" i="18" s="1"/>
  <c r="I136" i="18"/>
  <c r="J136" i="18" s="1"/>
  <c r="L136" i="18" s="1"/>
  <c r="I40" i="18"/>
  <c r="J40" i="18" s="1"/>
  <c r="L40" i="18" s="1"/>
  <c r="I109" i="18"/>
  <c r="J109" i="18" s="1"/>
  <c r="L109" i="18" s="1"/>
  <c r="I166" i="18"/>
  <c r="J166" i="18" s="1"/>
  <c r="L166" i="18" s="1"/>
  <c r="I169" i="18"/>
  <c r="J169" i="18" s="1"/>
  <c r="L169" i="18" s="1"/>
  <c r="I96" i="18"/>
  <c r="J96" i="18" s="1"/>
  <c r="L96" i="18" s="1"/>
  <c r="I164" i="18"/>
  <c r="J164" i="18" s="1"/>
  <c r="L164" i="18" s="1"/>
  <c r="I45" i="18"/>
  <c r="J45" i="18" s="1"/>
  <c r="L45" i="18" s="1"/>
  <c r="I126" i="18"/>
  <c r="J126" i="18" s="1"/>
  <c r="L126" i="18" s="1"/>
  <c r="I150" i="18"/>
  <c r="J150" i="18" s="1"/>
  <c r="L150" i="18" s="1"/>
  <c r="I154" i="18"/>
  <c r="J154" i="18" s="1"/>
  <c r="L154" i="18" s="1"/>
  <c r="L56" i="18" l="1"/>
  <c r="J13" i="18"/>
  <c r="J212" i="18"/>
  <c r="J14" i="18"/>
  <c r="L20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81" i="18"/>
  <c r="N181" i="18" s="1"/>
  <c r="R181" i="18" s="1"/>
  <c r="M69" i="18"/>
  <c r="N69" i="18" s="1"/>
  <c r="R69" i="18" s="1"/>
  <c r="M183" i="18"/>
  <c r="N183" i="18" s="1"/>
  <c r="R183" i="18" s="1"/>
  <c r="M86" i="18"/>
  <c r="N86" i="18" s="1"/>
  <c r="R86" i="18" s="1"/>
  <c r="M85" i="18"/>
  <c r="N85" i="18" s="1"/>
  <c r="R85" i="18" s="1"/>
  <c r="M171" i="18"/>
  <c r="N171" i="18" s="1"/>
  <c r="R171" i="18" s="1"/>
  <c r="M87" i="18"/>
  <c r="N87" i="18" s="1"/>
  <c r="R87" i="18" s="1"/>
  <c r="M93" i="18"/>
  <c r="N93" i="18" s="1"/>
  <c r="R93" i="18" s="1"/>
  <c r="M105" i="18"/>
  <c r="N105" i="18" s="1"/>
  <c r="R105" i="18" s="1"/>
  <c r="M99" i="18"/>
  <c r="N99" i="18" s="1"/>
  <c r="R99" i="18" s="1"/>
  <c r="M138" i="18"/>
  <c r="N138" i="18" s="1"/>
  <c r="R138" i="18" s="1"/>
  <c r="M144" i="18"/>
  <c r="N144" i="18" s="1"/>
  <c r="R144" i="18" s="1"/>
  <c r="M111" i="18"/>
  <c r="N111" i="18" s="1"/>
  <c r="R111" i="18" s="1"/>
  <c r="M71" i="18"/>
  <c r="N71" i="18" s="1"/>
  <c r="R71" i="18" s="1"/>
  <c r="M163" i="18"/>
  <c r="N163" i="18" s="1"/>
  <c r="R163" i="18" s="1"/>
  <c r="M49" i="18"/>
  <c r="N49" i="18" s="1"/>
  <c r="R49" i="18" s="1"/>
  <c r="M44" i="18"/>
  <c r="N44" i="18" s="1"/>
  <c r="R44" i="18" s="1"/>
  <c r="M70" i="18"/>
  <c r="N70" i="18" s="1"/>
  <c r="R70" i="18" s="1"/>
  <c r="M67" i="18"/>
  <c r="N67" i="18" s="1"/>
  <c r="R67" i="18" s="1"/>
  <c r="M76" i="18"/>
  <c r="N76" i="18" s="1"/>
  <c r="R76" i="18" s="1"/>
  <c r="M91" i="18"/>
  <c r="N91" i="18" s="1"/>
  <c r="R91" i="18" s="1"/>
  <c r="M63" i="18"/>
  <c r="N63" i="18" s="1"/>
  <c r="R63" i="18" s="1"/>
  <c r="M208" i="18"/>
  <c r="N208" i="18" s="1"/>
  <c r="R208" i="18" s="1"/>
  <c r="M195" i="18"/>
  <c r="N195" i="18" s="1"/>
  <c r="R195" i="18" s="1"/>
  <c r="M74" i="18"/>
  <c r="N74" i="18" s="1"/>
  <c r="R74" i="18" s="1"/>
  <c r="M139" i="18"/>
  <c r="N139" i="18" s="1"/>
  <c r="R139" i="18" s="1"/>
  <c r="M90" i="18"/>
  <c r="N90" i="18" s="1"/>
  <c r="R90" i="18" s="1"/>
  <c r="M153" i="18"/>
  <c r="N153" i="18" s="1"/>
  <c r="R153" i="18" s="1"/>
  <c r="M29" i="18"/>
  <c r="N29" i="18" s="1"/>
  <c r="R29" i="18" s="1"/>
  <c r="M79" i="18"/>
  <c r="N79" i="18" s="1"/>
  <c r="R79" i="18" s="1"/>
  <c r="M84" i="18"/>
  <c r="N84" i="18" s="1"/>
  <c r="R84" i="18" s="1"/>
  <c r="M96" i="18"/>
  <c r="N96" i="18" s="1"/>
  <c r="R96" i="18" s="1"/>
  <c r="M23" i="18"/>
  <c r="N23" i="18" s="1"/>
  <c r="R23" i="18" s="1"/>
  <c r="M50" i="18"/>
  <c r="N50" i="18" s="1"/>
  <c r="R50" i="18" s="1"/>
  <c r="M188" i="18"/>
  <c r="N188" i="18" s="1"/>
  <c r="R188" i="18" s="1"/>
  <c r="M24" i="18"/>
  <c r="N24" i="18" s="1"/>
  <c r="R24" i="18" s="1"/>
  <c r="M209" i="18"/>
  <c r="N209" i="18" s="1"/>
  <c r="R209" i="18" s="1"/>
  <c r="M54" i="18"/>
  <c r="N54" i="18" s="1"/>
  <c r="R54" i="18" s="1"/>
  <c r="M34" i="18"/>
  <c r="N34" i="18" s="1"/>
  <c r="R34" i="18" s="1"/>
  <c r="M201" i="18"/>
  <c r="N201" i="18" s="1"/>
  <c r="R201" i="18" s="1"/>
  <c r="M182" i="18"/>
  <c r="N182" i="18" s="1"/>
  <c r="R182" i="18" s="1"/>
  <c r="M121" i="18"/>
  <c r="N121" i="18" s="1"/>
  <c r="R121" i="18" s="1"/>
  <c r="M77" i="18"/>
  <c r="N77" i="18" s="1"/>
  <c r="R77" i="18" s="1"/>
  <c r="M162" i="18"/>
  <c r="N162" i="18" s="1"/>
  <c r="R162" i="18" s="1"/>
  <c r="M55" i="18"/>
  <c r="N55" i="18" s="1"/>
  <c r="R55" i="18" s="1"/>
  <c r="M166" i="18"/>
  <c r="N166" i="18" s="1"/>
  <c r="R166" i="18" s="1"/>
  <c r="M190" i="18"/>
  <c r="N190" i="18" s="1"/>
  <c r="R190" i="18" s="1"/>
  <c r="M31" i="18"/>
  <c r="N31" i="18" s="1"/>
  <c r="R31" i="18" s="1"/>
  <c r="M32" i="18"/>
  <c r="N32" i="18" s="1"/>
  <c r="R32" i="18" s="1"/>
  <c r="M118" i="18"/>
  <c r="N118" i="18" s="1"/>
  <c r="R118" i="18" s="1"/>
  <c r="M108" i="18"/>
  <c r="N108" i="18" s="1"/>
  <c r="R108" i="18" s="1"/>
  <c r="M179" i="18"/>
  <c r="N179" i="18" s="1"/>
  <c r="R179" i="18" s="1"/>
  <c r="M151" i="18"/>
  <c r="N151" i="18" s="1"/>
  <c r="R151" i="18" s="1"/>
  <c r="M33" i="18"/>
  <c r="N33" i="18" s="1"/>
  <c r="R33" i="18" s="1"/>
  <c r="M156" i="18"/>
  <c r="N156" i="18" s="1"/>
  <c r="R156" i="18" s="1"/>
  <c r="M81" i="18"/>
  <c r="N81" i="18" s="1"/>
  <c r="R81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80" i="18"/>
  <c r="N80" i="18" s="1"/>
  <c r="R80" i="18" s="1"/>
  <c r="M154" i="18"/>
  <c r="N154" i="18" s="1"/>
  <c r="R154" i="18" s="1"/>
  <c r="M43" i="18"/>
  <c r="N43" i="18" s="1"/>
  <c r="R43" i="18" s="1"/>
  <c r="M167" i="18"/>
  <c r="N167" i="18" s="1"/>
  <c r="R167" i="18" s="1"/>
  <c r="M202" i="18"/>
  <c r="N202" i="18" s="1"/>
  <c r="R202" i="18" s="1"/>
  <c r="M36" i="18"/>
  <c r="N36" i="18" s="1"/>
  <c r="R36" i="18" s="1"/>
  <c r="M47" i="18"/>
  <c r="N47" i="18" s="1"/>
  <c r="R47" i="18" s="1"/>
  <c r="M89" i="18"/>
  <c r="N89" i="18" s="1"/>
  <c r="R89" i="18" s="1"/>
  <c r="M53" i="18"/>
  <c r="N53" i="18" s="1"/>
  <c r="R53" i="18" s="1"/>
  <c r="M147" i="18"/>
  <c r="N147" i="18" s="1"/>
  <c r="R147" i="18" s="1"/>
  <c r="M116" i="18"/>
  <c r="N116" i="18" s="1"/>
  <c r="R116" i="18" s="1"/>
  <c r="M152" i="18"/>
  <c r="N152" i="18" s="1"/>
  <c r="R152" i="18" s="1"/>
  <c r="M57" i="18"/>
  <c r="N57" i="18" s="1"/>
  <c r="R57" i="18" s="1"/>
  <c r="M39" i="18"/>
  <c r="N39" i="18" s="1"/>
  <c r="R39" i="18" s="1"/>
  <c r="M158" i="18"/>
  <c r="N158" i="18" s="1"/>
  <c r="R158" i="18" s="1"/>
  <c r="M61" i="18"/>
  <c r="N61" i="18" s="1"/>
  <c r="R61" i="18" s="1"/>
  <c r="M28" i="18"/>
  <c r="N28" i="18" s="1"/>
  <c r="R28" i="18" s="1"/>
  <c r="M168" i="18"/>
  <c r="N168" i="18" s="1"/>
  <c r="R168" i="18" s="1"/>
  <c r="M66" i="18"/>
  <c r="N66" i="18" s="1"/>
  <c r="R66" i="18" s="1"/>
  <c r="M38" i="18"/>
  <c r="N38" i="18" s="1"/>
  <c r="R38" i="18" s="1"/>
  <c r="M176" i="18"/>
  <c r="N176" i="18" s="1"/>
  <c r="R176" i="18" s="1"/>
  <c r="M119" i="18"/>
  <c r="N119" i="18" s="1"/>
  <c r="R119" i="18" s="1"/>
  <c r="M186" i="18"/>
  <c r="N186" i="18" s="1"/>
  <c r="R186" i="18" s="1"/>
  <c r="M60" i="18"/>
  <c r="N60" i="18" s="1"/>
  <c r="R60" i="18" s="1"/>
  <c r="M25" i="18"/>
  <c r="N25" i="18" s="1"/>
  <c r="R25" i="18" s="1"/>
  <c r="M20" i="18"/>
  <c r="M101" i="18"/>
  <c r="N101" i="18" s="1"/>
  <c r="R101" i="18" s="1"/>
  <c r="M189" i="18"/>
  <c r="N189" i="18" s="1"/>
  <c r="R189" i="18" s="1"/>
  <c r="M48" i="18"/>
  <c r="N48" i="18" s="1"/>
  <c r="R48" i="18" s="1"/>
  <c r="M177" i="18"/>
  <c r="N177" i="18" s="1"/>
  <c r="R177" i="18" s="1"/>
  <c r="M22" i="18"/>
  <c r="N22" i="18" s="1"/>
  <c r="R22" i="18" s="1"/>
  <c r="M30" i="18"/>
  <c r="N30" i="18" s="1"/>
  <c r="R30" i="18" s="1"/>
  <c r="M130" i="18"/>
  <c r="N130" i="18" s="1"/>
  <c r="R130" i="18" s="1"/>
  <c r="M110" i="18"/>
  <c r="N110" i="18" s="1"/>
  <c r="R110" i="18" s="1"/>
  <c r="M42" i="18"/>
  <c r="N42" i="18" s="1"/>
  <c r="R42" i="18" s="1"/>
  <c r="M127" i="18"/>
  <c r="N127" i="18" s="1"/>
  <c r="R127" i="18" s="1"/>
  <c r="M59" i="18"/>
  <c r="N59" i="18" s="1"/>
  <c r="R59" i="18" s="1"/>
  <c r="M203" i="18"/>
  <c r="N203" i="18" s="1"/>
  <c r="R203" i="18" s="1"/>
  <c r="M104" i="18"/>
  <c r="N104" i="18" s="1"/>
  <c r="R104" i="18" s="1"/>
  <c r="M51" i="18"/>
  <c r="N51" i="18" s="1"/>
  <c r="R51" i="18" s="1"/>
  <c r="M128" i="18"/>
  <c r="N128" i="18" s="1"/>
  <c r="R128" i="18" s="1"/>
  <c r="M46" i="18"/>
  <c r="N46" i="18" s="1"/>
  <c r="R46" i="18" s="1"/>
  <c r="M141" i="18"/>
  <c r="N141" i="18" s="1"/>
  <c r="R141" i="18" s="1"/>
  <c r="M142" i="18"/>
  <c r="N142" i="18" s="1"/>
  <c r="R142" i="18" s="1"/>
  <c r="M193" i="18"/>
  <c r="N193" i="18" s="1"/>
  <c r="R193" i="18" s="1"/>
  <c r="M106" i="18"/>
  <c r="N106" i="18" s="1"/>
  <c r="R106" i="18" s="1"/>
  <c r="M62" i="18"/>
  <c r="N62" i="18" s="1"/>
  <c r="R62" i="18" s="1"/>
  <c r="M131" i="18"/>
  <c r="N131" i="18" s="1"/>
  <c r="R131" i="18" s="1"/>
  <c r="M175" i="18"/>
  <c r="N175" i="18" s="1"/>
  <c r="R175" i="18" s="1"/>
  <c r="M100" i="18"/>
  <c r="N100" i="18" s="1"/>
  <c r="R100" i="18" s="1"/>
  <c r="M205" i="18"/>
  <c r="N205" i="18" s="1"/>
  <c r="R205" i="18" s="1"/>
  <c r="M52" i="18"/>
  <c r="N52" i="18" s="1"/>
  <c r="R52" i="18" s="1"/>
  <c r="M159" i="18"/>
  <c r="N159" i="18" s="1"/>
  <c r="R159" i="18" s="1"/>
  <c r="M123" i="18"/>
  <c r="N123" i="18" s="1"/>
  <c r="R123" i="18" s="1"/>
  <c r="M212" i="18" l="1"/>
  <c r="N20" i="18"/>
  <c r="M13" i="18"/>
  <c r="N56" i="18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<sst xmlns="http://schemas.openxmlformats.org/spreadsheetml/2006/main" count="422" uniqueCount="104">
  <si>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</si>
  <si>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</si>
  <si>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</si>
  <si>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</si>
  <si>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</si>
  <si>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</si>
  <si>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</si>
  <si>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</si>
  <si>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</si>
  <si>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</si>
  <si>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</si>
  <si>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</si>
  <si>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</si>
  <si>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</si>
  <si>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</si>
  <si>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</si>
  <si>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</si>
  <si>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</si>
  <si>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</si>
  <si>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</si>
  <si>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</si>
  <si>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</si>
  <si>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</si>
  <si>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</si>
  <si>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</si>
  <si>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</si>
  <si>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</si>
  <si>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</si>
  <si>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</si>
  <si>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</si>
  <si>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</si>
  <si>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</si>
  <si>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</si>
  <si>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</si>
  <si>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</si>
  <si>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</si>
  <si>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</si>
  <si>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</si>
  <si>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</si>
  <si>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</si>
  <si>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</si>
  <si>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</si>
  <si>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</si>
  <si>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</si>
  <si>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</si>
  <si>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</si>
  <si>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</si>
  <si>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</si>
  <si>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</si>
  <si>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</si>
  <si>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</si>
  <si>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</si>
  <si>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</si>
  <si>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</si>
  <si>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</si>
  <si>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</si>
  <si>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</si>
  <si>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</si>
  <si>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</si>
  <si>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</si>
  <si>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</si>
  <si>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</si>
  <si>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</si>
  <si>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</si>
  <si>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</si>
  <si>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</si>
  <si>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</si>
  <si>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</si>
  <si>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</si>
  <si>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</si>
  <si>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</si>
  <si>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</si>
  <si>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</si>
  <si>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</si>
  <si>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</si>
  <si>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</si>
  <si>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</si>
  <si>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</si>
  <si>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</si>
  <si>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</si>
  <si>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</si>
  <si>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</si>
  <si>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</si>
  <si>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 xml:space="preserve">    &lt;&lt; OKLAHOMA TRANSMISSION COMPANY &gt;&gt;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</si>
  <si>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</si>
  <si>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</si>
  <si>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</si>
  <si>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</si>
  <si>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</si>
  <si>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</si>
  <si>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</si>
  <si>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</si>
  <si>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</si>
  <si>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</si>
  <si>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</si>
  <si>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</si>
  <si>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</si>
  <si>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</si>
  <si>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</si>
  <si>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</si>
  <si>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</si>
  <si>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Total NITS Surcharge / Refund</t>
  </si>
  <si>
    <t>Network Customer True-Up (Schedule 1 charges)</t>
  </si>
  <si>
    <t>2020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</si>
</sst>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167" fontId="7" fillId="6" borderId="26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4" xfId="0" quotePrefix="1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4" xfId="0" quotePrefix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49016" refreshedDate="45069.398484375" createdVersion="6" refreshedVersion="7" recordCount="192" xr:uid="{00000000-000A-0000-FFFF-FFFF9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2-12-02T00:00:00" count="156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2-02-03T00:00:00" maxDate="2023-01-05T00:00:00"/>
    </cacheField>
    <cacheField name="Payment Received*" numFmtId="14">
      <sharedItems containsSemiMixedTypes="0" containsNonDate="0" containsDate="1" containsString="0" minDate="2022-02-23T00:00:00" maxDate="2023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30"/>
    </cacheField>
    <cacheField name="Projected Rate (as Invoiced)" numFmtId="164">
      <sharedItems containsSemiMixedTypes="0" containsString="0" containsNumber="1" minValue="7.2418230508197396" maxValue="7.2418230508197396"/>
    </cacheField>
    <cacheField name="Actual True-Up Rate" numFmtId="164">
      <sharedItems containsSemiMixedTypes="0" containsString="0" containsNumber="1" minValue="4.7305566459474955" maxValue="4.7305566459474955"/>
    </cacheField>
    <cacheField name="True-Up Charge" numFmtId="164">
      <sharedItems containsSemiMixedTypes="0" containsString="0" containsNumber="1" minValue="4.7305566459474955" maxValue="20010.254612357905"/>
    </cacheField>
    <cacheField name="Invoiced*** Charge (proj.)" numFmtId="164">
      <sharedItems containsSemiMixedTypes="0" containsString="0" containsNumber="1" minValue="7.2418230508197396" maxValue="30632.911504967498"/>
    </cacheField>
    <cacheField name="True-Up w/o Interest" numFmtId="164">
      <sharedItems containsSemiMixedTypes="0" containsString="0" containsNumber="1" minValue="-10622.656892609593" maxValue="-2.5112664048722442"/>
    </cacheField>
    <cacheField name="Interest" numFmtId="164">
      <sharedItems containsSemiMixedTypes="0" containsString="0" containsNumber="1" minValue="-580.05158706637826" maxValue="-0.13712803476746532"/>
    </cacheField>
    <cacheField name="2020 True Up Including Interest" numFmtId="164">
      <sharedItems containsSemiMixedTypes="0" containsString="0" containsNumber="1" minValue="-11202.708479675972" maxValue="-2.6483944396397097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1202.708479675972" maxValue="-2.6483944396397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2-02-03T00:00:00"/>
    <d v="2022-02-23T00:00:00"/>
    <x v="0"/>
    <n v="9"/>
    <n v="2899"/>
    <n v="7.2418230508197396"/>
    <n v="4.7305566459474955"/>
    <n v="13713.883716601789"/>
    <n v="20994.045024326424"/>
    <n v="-7280.1613077246348"/>
    <n v="-397.53417279088194"/>
    <n v="-7677.6954805155165"/>
    <n v="0"/>
    <n v="0"/>
    <n v="0"/>
    <n v="-7677.6954805155165"/>
  </r>
  <r>
    <x v="1"/>
    <d v="2022-03-03T00:00:00"/>
    <d v="2022-03-22T00:00:00"/>
    <x v="0"/>
    <n v="9"/>
    <n v="2759"/>
    <n v="7.2418230508197396"/>
    <n v="4.7305566459474955"/>
    <n v="13051.605786169141"/>
    <n v="19980.18979721166"/>
    <n v="-6928.5840110425197"/>
    <n v="-378.33624792343676"/>
    <n v="-7306.9202589659562"/>
    <n v="0"/>
    <n v="0"/>
    <n v="0"/>
    <n v="-7306.9202589659562"/>
  </r>
  <r>
    <x v="2"/>
    <d v="2022-04-05T00:00:00"/>
    <d v="2022-04-25T00:00:00"/>
    <x v="0"/>
    <n v="9"/>
    <n v="2450"/>
    <n v="7.2418230508197396"/>
    <n v="4.7305566459474955"/>
    <n v="11589.863782571363"/>
    <n v="17742.466474508361"/>
    <n v="-6152.6026919369979"/>
    <n v="-335.96368518028999"/>
    <n v="-6488.5663771172876"/>
    <n v="0"/>
    <n v="0"/>
    <n v="0"/>
    <n v="-6488.5663771172876"/>
  </r>
  <r>
    <x v="3"/>
    <d v="2022-05-04T00:00:00"/>
    <d v="2022-05-24T00:00:00"/>
    <x v="0"/>
    <n v="9"/>
    <n v="2395"/>
    <n v="7.2418230508197396"/>
    <n v="4.7305566459474955"/>
    <n v="11329.683167044252"/>
    <n v="17344.166206713275"/>
    <n v="-6014.4830396690231"/>
    <n v="-328.42164326807938"/>
    <n v="-6342.9046829371027"/>
    <n v="0"/>
    <n v="0"/>
    <n v="0"/>
    <n v="-6342.9046829371027"/>
  </r>
  <r>
    <x v="4"/>
    <d v="2022-06-03T00:00:00"/>
    <d v="2022-06-23T00:00:00"/>
    <x v="0"/>
    <n v="9"/>
    <n v="3482"/>
    <n v="7.2418230508197396"/>
    <n v="4.7305566459474955"/>
    <n v="16471.798241189179"/>
    <n v="25216.027862954332"/>
    <n v="-8744.2296217651528"/>
    <n v="-477.47981706031425"/>
    <n v="-9221.7094388254663"/>
    <n v="0"/>
    <n v="0"/>
    <n v="0"/>
    <n v="-9221.7094388254663"/>
  </r>
  <r>
    <x v="5"/>
    <d v="2022-07-05T00:00:00"/>
    <d v="2022-07-25T00:00:00"/>
    <x v="0"/>
    <n v="9"/>
    <n v="4006"/>
    <n v="7.2418230508197396"/>
    <n v="4.7305566459474955"/>
    <n v="18950.609923665666"/>
    <n v="29010.743141583876"/>
    <n v="-10060.13321791821"/>
    <n v="-549.33490727846606"/>
    <n v="-10609.468125196676"/>
    <n v="0"/>
    <n v="0"/>
    <n v="0"/>
    <n v="-10609.468125196676"/>
  </r>
  <r>
    <x v="6"/>
    <d v="2022-08-03T00:00:00"/>
    <d v="2022-08-23T00:00:00"/>
    <x v="0"/>
    <n v="9"/>
    <n v="4230"/>
    <n v="7.2418230508197396"/>
    <n v="4.7305566459474955"/>
    <n v="20010.254612357905"/>
    <n v="30632.911504967498"/>
    <n v="-10622.656892609593"/>
    <n v="-580.05158706637826"/>
    <n v="-11202.708479675972"/>
    <n v="0"/>
    <n v="0"/>
    <n v="0"/>
    <n v="-11202.708479675972"/>
  </r>
  <r>
    <x v="7"/>
    <d v="2022-09-05T00:00:00"/>
    <d v="2022-09-23T00:00:00"/>
    <x v="0"/>
    <n v="9"/>
    <n v="4151"/>
    <n v="7.2418230508197396"/>
    <n v="4.7305566459474955"/>
    <n v="19636.540637328053"/>
    <n v="30060.80748395274"/>
    <n v="-10424.266846624687"/>
    <n v="-569.21847231974846"/>
    <n v="-10993.485318944435"/>
    <n v="0"/>
    <n v="0"/>
    <n v="0"/>
    <n v="-10993.485318944435"/>
  </r>
  <r>
    <x v="8"/>
    <d v="2022-10-05T00:00:00"/>
    <d v="2022-10-25T00:00:00"/>
    <x v="0"/>
    <n v="9"/>
    <n v="3898"/>
    <n v="7.2418230508197396"/>
    <n v="4.7305566459474955"/>
    <n v="18439.709805903338"/>
    <n v="28228.626252095346"/>
    <n v="-9788.9164461920082"/>
    <n v="-534.52507952357985"/>
    <n v="-10323.441525715589"/>
    <n v="0"/>
    <n v="0"/>
    <n v="0"/>
    <n v="-10323.441525715589"/>
  </r>
  <r>
    <x v="9"/>
    <d v="2022-11-03T00:00:00"/>
    <d v="2022-11-23T00:00:00"/>
    <x v="0"/>
    <n v="9"/>
    <n v="2760"/>
    <n v="7.2418230508197396"/>
    <n v="4.7305566459474955"/>
    <n v="13056.336342815088"/>
    <n v="19987.431620262483"/>
    <n v="-6931.0952774473953"/>
    <n v="-378.47337595820426"/>
    <n v="-7309.5686534055994"/>
    <n v="0"/>
    <n v="0"/>
    <n v="0"/>
    <n v="-7309.5686534055994"/>
  </r>
  <r>
    <x v="10"/>
    <d v="2022-12-05T00:00:00"/>
    <d v="2022-12-23T00:00:00"/>
    <x v="0"/>
    <n v="9"/>
    <n v="2561"/>
    <n v="7.2418230508197396"/>
    <n v="4.7305566459474955"/>
    <n v="12114.955570271535"/>
    <n v="18546.308833149353"/>
    <n v="-6431.3532628778175"/>
    <n v="-351.18489703947864"/>
    <n v="-6782.5381599172961"/>
    <n v="0"/>
    <n v="0"/>
    <n v="0"/>
    <n v="-6782.5381599172961"/>
  </r>
  <r>
    <x v="11"/>
    <d v="2023-01-04T00:00:00"/>
    <d v="2023-01-24T00:00:00"/>
    <x v="0"/>
    <n v="9"/>
    <n v="3150"/>
    <n v="7.2418230508197396"/>
    <n v="4.7305566459474955"/>
    <n v="14901.25343473461"/>
    <n v="22811.742610082179"/>
    <n v="-7910.4891753475695"/>
    <n v="-431.95330951751572"/>
    <n v="-8342.4424848650851"/>
    <n v="0"/>
    <n v="0"/>
    <n v="0"/>
    <n v="-8342.4424848650851"/>
  </r>
  <r>
    <x v="0"/>
    <d v="2022-02-03T00:00:00"/>
    <d v="2022-02-23T00:00:00"/>
    <x v="1"/>
    <n v="9"/>
    <n v="2921"/>
    <n v="7.2418230508197396"/>
    <n v="4.7305566459474955"/>
    <n v="13817.955962812634"/>
    <n v="21153.365131444458"/>
    <n v="-7335.4091686318243"/>
    <n v="-400.55098955576619"/>
    <n v="-7735.9601581875904"/>
    <n v="0"/>
    <n v="0"/>
    <n v="0"/>
    <n v="-7735.9601581875904"/>
  </r>
  <r>
    <x v="1"/>
    <d v="2022-03-03T00:00:00"/>
    <d v="2022-03-22T00:00:00"/>
    <x v="1"/>
    <n v="9"/>
    <n v="2853"/>
    <n v="7.2418230508197396"/>
    <n v="4.7305566459474955"/>
    <n v="13496.278110888205"/>
    <n v="20660.921163988718"/>
    <n v="-7164.6430531005135"/>
    <n v="-391.22628319157855"/>
    <n v="-7555.8693362920922"/>
    <n v="0"/>
    <n v="0"/>
    <n v="0"/>
    <n v="-7555.8693362920922"/>
  </r>
  <r>
    <x v="2"/>
    <d v="2022-04-05T00:00:00"/>
    <d v="2022-04-25T00:00:00"/>
    <x v="1"/>
    <n v="9"/>
    <n v="2560"/>
    <n v="7.2418230508197396"/>
    <n v="4.7305566459474955"/>
    <n v="12110.225013625588"/>
    <n v="18539.067010098534"/>
    <n v="-6428.8419964729455"/>
    <n v="-351.0477690047112"/>
    <n v="-6779.8897654776565"/>
    <n v="0"/>
    <n v="0"/>
    <n v="0"/>
    <n v="-6779.8897654776565"/>
  </r>
  <r>
    <x v="3"/>
    <d v="2022-05-04T00:00:00"/>
    <d v="2022-05-24T00:00:00"/>
    <x v="1"/>
    <n v="9"/>
    <n v="2434"/>
    <n v="7.2418230508197396"/>
    <n v="4.7305566459474955"/>
    <n v="11514.174876236204"/>
    <n v="17626.597305695246"/>
    <n v="-6112.4224294590422"/>
    <n v="-333.76963662401056"/>
    <n v="-6446.1920660830529"/>
    <n v="0"/>
    <n v="0"/>
    <n v="0"/>
    <n v="-6446.1920660830529"/>
  </r>
  <r>
    <x v="4"/>
    <d v="2022-06-03T00:00:00"/>
    <d v="2022-06-23T00:00:00"/>
    <x v="1"/>
    <n v="9"/>
    <n v="3117"/>
    <n v="7.2418230508197396"/>
    <n v="4.7305566459474955"/>
    <n v="14745.145065418343"/>
    <n v="22572.762449405127"/>
    <n v="-7827.6173839867843"/>
    <n v="-427.42808437018937"/>
    <n v="-8255.0454683569733"/>
    <n v="0"/>
    <n v="0"/>
    <n v="0"/>
    <n v="-8255.0454683569733"/>
  </r>
  <r>
    <x v="5"/>
    <d v="2022-07-05T00:00:00"/>
    <d v="2022-07-25T00:00:00"/>
    <x v="1"/>
    <n v="9"/>
    <n v="3536"/>
    <n v="7.2418230508197396"/>
    <n v="4.7305566459474955"/>
    <n v="16727.248300070343"/>
    <n v="25607.086307698599"/>
    <n v="-8879.8380076282556"/>
    <n v="-484.88473093775735"/>
    <n v="-9364.7227385660135"/>
    <n v="0"/>
    <n v="0"/>
    <n v="0"/>
    <n v="-9364.7227385660135"/>
  </r>
  <r>
    <x v="6"/>
    <d v="2022-08-03T00:00:00"/>
    <d v="2022-08-23T00:00:00"/>
    <x v="1"/>
    <n v="9"/>
    <n v="3696"/>
    <n v="7.2418230508197396"/>
    <n v="4.7305566459474955"/>
    <n v="17484.137363421942"/>
    <n v="26765.777995829758"/>
    <n v="-9281.6406324078162"/>
    <n v="-506.82521650055185"/>
    <n v="-9788.4658489083686"/>
    <n v="0"/>
    <n v="0"/>
    <n v="0"/>
    <n v="-9788.4658489083686"/>
  </r>
  <r>
    <x v="7"/>
    <d v="2022-09-05T00:00:00"/>
    <d v="2022-09-23T00:00:00"/>
    <x v="1"/>
    <n v="9"/>
    <n v="3632"/>
    <n v="7.2418230508197396"/>
    <n v="4.7305566459474955"/>
    <n v="17181.381738081305"/>
    <n v="26302.301320577295"/>
    <n v="-9120.9195824959897"/>
    <n v="-498.04902227543403"/>
    <n v="-9618.968604771424"/>
    <n v="0"/>
    <n v="0"/>
    <n v="0"/>
    <n v="-9618.968604771424"/>
  </r>
  <r>
    <x v="8"/>
    <d v="2022-10-05T00:00:00"/>
    <d v="2022-10-25T00:00:00"/>
    <x v="1"/>
    <n v="9"/>
    <n v="3337"/>
    <n v="7.2418230508197396"/>
    <n v="4.7305566459474955"/>
    <n v="15785.867527526792"/>
    <n v="24165.963520585472"/>
    <n v="-8380.0959930586796"/>
    <n v="-457.59625201903174"/>
    <n v="-8837.692245077711"/>
    <n v="0"/>
    <n v="0"/>
    <n v="0"/>
    <n v="-8837.692245077711"/>
  </r>
  <r>
    <x v="9"/>
    <d v="2022-11-03T00:00:00"/>
    <d v="2022-11-23T00:00:00"/>
    <x v="1"/>
    <n v="9"/>
    <n v="2496"/>
    <n v="7.2418230508197396"/>
    <n v="4.7305566459474955"/>
    <n v="11807.469388284948"/>
    <n v="18075.590334846071"/>
    <n v="-6268.1209465611228"/>
    <n v="-342.27157477959338"/>
    <n v="-6610.3925213407165"/>
    <n v="0"/>
    <n v="0"/>
    <n v="0"/>
    <n v="-6610.3925213407165"/>
  </r>
  <r>
    <x v="10"/>
    <d v="2022-12-05T00:00:00"/>
    <d v="2022-12-23T00:00:00"/>
    <x v="1"/>
    <n v="9"/>
    <n v="2518"/>
    <n v="7.2418230508197396"/>
    <n v="4.7305566459474955"/>
    <n v="11911.541634495794"/>
    <n v="18234.910441964104"/>
    <n v="-6323.3688074683105"/>
    <n v="-345.28839154447763"/>
    <n v="-6668.6571990127877"/>
    <n v="0"/>
    <n v="0"/>
    <n v="0"/>
    <n v="-6668.6571990127877"/>
  </r>
  <r>
    <x v="11"/>
    <d v="2023-01-04T00:00:00"/>
    <d v="2023-01-24T00:00:00"/>
    <x v="1"/>
    <n v="9"/>
    <n v="3399"/>
    <n v="7.2418230508197396"/>
    <n v="4.7305566459474955"/>
    <n v="16079.162039575536"/>
    <n v="24614.956549736296"/>
    <n v="-8535.7945101607602"/>
    <n v="-466.09819017461456"/>
    <n v="-9001.8927003353747"/>
    <n v="0"/>
    <n v="0"/>
    <n v="0"/>
    <n v="-9001.8927003353747"/>
  </r>
  <r>
    <x v="0"/>
    <d v="2022-02-03T00:00:00"/>
    <d v="2022-02-23T00:00:00"/>
    <x v="2"/>
    <n v="9"/>
    <n v="163"/>
    <n v="7.2418230508197396"/>
    <n v="4.7305566459474955"/>
    <n v="771.08073328944181"/>
    <n v="1180.4171572836176"/>
    <n v="-409.33642399417579"/>
    <n v="-22.351869667096846"/>
    <n v="-431.68829366127261"/>
    <n v="0"/>
    <n v="0"/>
    <n v="0"/>
    <n v="-431.68829366127261"/>
  </r>
  <r>
    <x v="1"/>
    <d v="2022-03-03T00:00:00"/>
    <d v="2022-03-22T00:00:00"/>
    <x v="2"/>
    <n v="9"/>
    <n v="155"/>
    <n v="7.2418230508197396"/>
    <n v="4.7305566459474955"/>
    <n v="733.2362801218618"/>
    <n v="1122.4825728770597"/>
    <n v="-389.24629275519794"/>
    <n v="-21.254845388957122"/>
    <n v="-410.50113814415505"/>
    <n v="0"/>
    <n v="0"/>
    <n v="0"/>
    <n v="-410.50113814415505"/>
  </r>
  <r>
    <x v="2"/>
    <d v="2022-04-05T00:00:00"/>
    <d v="2022-04-25T00:00:00"/>
    <x v="2"/>
    <n v="9"/>
    <n v="141"/>
    <n v="7.2418230508197396"/>
    <n v="4.7305566459474955"/>
    <n v="667.00848707859689"/>
    <n v="1021.0970501655833"/>
    <n v="-354.08856308698637"/>
    <n v="-19.33505290221261"/>
    <n v="-373.42361598919899"/>
    <n v="0"/>
    <n v="0"/>
    <n v="0"/>
    <n v="-373.42361598919899"/>
  </r>
  <r>
    <x v="3"/>
    <d v="2022-05-04T00:00:00"/>
    <d v="2022-05-24T00:00:00"/>
    <x v="2"/>
    <n v="9"/>
    <n v="92"/>
    <n v="7.2418230508197396"/>
    <n v="4.7305566459474955"/>
    <n v="435.21121142716959"/>
    <n v="666.24772067541608"/>
    <n v="-231.03650924824649"/>
    <n v="-12.615779198606809"/>
    <n v="-243.65228844685331"/>
    <n v="0"/>
    <n v="0"/>
    <n v="0"/>
    <n v="-243.65228844685331"/>
  </r>
  <r>
    <x v="4"/>
    <d v="2022-06-03T00:00:00"/>
    <d v="2022-06-23T00:00:00"/>
    <x v="2"/>
    <n v="9"/>
    <n v="131"/>
    <n v="7.2418230508197396"/>
    <n v="4.7305566459474955"/>
    <n v="619.70292061912187"/>
    <n v="948.67881965738593"/>
    <n v="-328.97589903826406"/>
    <n v="-17.963772554537957"/>
    <n v="-346.93967159280203"/>
    <n v="0"/>
    <n v="0"/>
    <n v="0"/>
    <n v="-346.93967159280203"/>
  </r>
  <r>
    <x v="5"/>
    <d v="2022-07-05T00:00:00"/>
    <d v="2022-07-25T00:00:00"/>
    <x v="2"/>
    <n v="9"/>
    <n v="152"/>
    <n v="7.2418230508197396"/>
    <n v="4.7305566459474955"/>
    <n v="719.04461018401935"/>
    <n v="1100.7571037246005"/>
    <n v="-381.71249354058114"/>
    <n v="-20.84346128465473"/>
    <n v="-402.55595482523586"/>
    <n v="0"/>
    <n v="0"/>
    <n v="0"/>
    <n v="-402.55595482523586"/>
  </r>
  <r>
    <x v="6"/>
    <d v="2022-08-03T00:00:00"/>
    <d v="2022-08-23T00:00:00"/>
    <x v="2"/>
    <n v="9"/>
    <n v="149"/>
    <n v="7.2418230508197396"/>
    <n v="4.7305566459474955"/>
    <n v="704.85294024617679"/>
    <n v="1079.0316345721412"/>
    <n v="-374.17869432596444"/>
    <n v="-20.432077180352334"/>
    <n v="-394.61077150631678"/>
    <n v="0"/>
    <n v="0"/>
    <n v="0"/>
    <n v="-394.61077150631678"/>
  </r>
  <r>
    <x v="7"/>
    <d v="2022-09-05T00:00:00"/>
    <d v="2022-09-23T00:00:00"/>
    <x v="2"/>
    <n v="9"/>
    <n v="137"/>
    <n v="7.2418230508197396"/>
    <n v="4.7305566459474955"/>
    <n v="648.08626049480688"/>
    <n v="992.12975796230432"/>
    <n v="-344.04349746749745"/>
    <n v="-18.786540763142749"/>
    <n v="-362.83003823064018"/>
    <n v="0"/>
    <n v="0"/>
    <n v="0"/>
    <n v="-362.83003823064018"/>
  </r>
  <r>
    <x v="8"/>
    <d v="2022-10-05T00:00:00"/>
    <d v="2022-10-25T00:00:00"/>
    <x v="2"/>
    <n v="9"/>
    <n v="136"/>
    <n v="7.2418230508197396"/>
    <n v="4.7305566459474955"/>
    <n v="643.35570384885943"/>
    <n v="984.88793491148454"/>
    <n v="-341.5322310626251"/>
    <n v="-18.649412728375285"/>
    <n v="-360.1816437910004"/>
    <n v="0"/>
    <n v="0"/>
    <n v="0"/>
    <n v="-360.1816437910004"/>
  </r>
  <r>
    <x v="9"/>
    <d v="2022-11-03T00:00:00"/>
    <d v="2022-11-23T00:00:00"/>
    <x v="2"/>
    <n v="9"/>
    <n v="91"/>
    <n v="7.2418230508197396"/>
    <n v="4.7305566459474955"/>
    <n v="430.48065478122209"/>
    <n v="659.00589762459629"/>
    <n v="-228.5252428433742"/>
    <n v="-12.478651163839343"/>
    <n v="-241.00389400721355"/>
    <n v="0"/>
    <n v="0"/>
    <n v="0"/>
    <n v="-241.00389400721355"/>
  </r>
  <r>
    <x v="10"/>
    <d v="2022-12-05T00:00:00"/>
    <d v="2022-12-23T00:00:00"/>
    <x v="2"/>
    <n v="9"/>
    <n v="113"/>
    <n v="7.2418230508197396"/>
    <n v="4.7305566459474955"/>
    <n v="534.55290099206695"/>
    <n v="818.32600474263063"/>
    <n v="-283.77310375056368"/>
    <n v="-15.495467928723581"/>
    <n v="-299.26857167928728"/>
    <n v="0"/>
    <n v="0"/>
    <n v="0"/>
    <n v="-299.26857167928728"/>
  </r>
  <r>
    <x v="11"/>
    <d v="2023-01-04T00:00:00"/>
    <d v="2023-01-24T00:00:00"/>
    <x v="2"/>
    <n v="9"/>
    <n v="210"/>
    <n v="7.2418230508197396"/>
    <n v="4.7305566459474955"/>
    <n v="993.4168956489741"/>
    <n v="1520.7828406721453"/>
    <n v="-527.36594502317121"/>
    <n v="-28.796887301167718"/>
    <n v="-556.16283232433898"/>
    <n v="0"/>
    <n v="0"/>
    <n v="0"/>
    <n v="-556.16283232433898"/>
  </r>
  <r>
    <x v="0"/>
    <d v="2022-02-03T00:00:00"/>
    <d v="2022-02-23T00:00:00"/>
    <x v="3"/>
    <n v="9"/>
    <n v="893"/>
    <n v="7.2418230508197396"/>
    <n v="4.7305566459474955"/>
    <n v="4224.3870848311135"/>
    <n v="6466.9479843820272"/>
    <n v="-2242.5608995509137"/>
    <n v="-122.45533504734652"/>
    <n v="-2365.0162345982603"/>
    <n v="0"/>
    <n v="0"/>
    <n v="0"/>
    <n v="-2365.0162345982603"/>
  </r>
  <r>
    <x v="1"/>
    <d v="2022-03-03T00:00:00"/>
    <d v="2022-03-22T00:00:00"/>
    <x v="3"/>
    <n v="9"/>
    <n v="796"/>
    <n v="7.2418230508197396"/>
    <n v="4.7305566459474955"/>
    <n v="3765.5230901742066"/>
    <n v="5764.4911484525128"/>
    <n v="-1998.9680582783062"/>
    <n v="-109.15391567490239"/>
    <n v="-2108.1219739532085"/>
    <n v="0"/>
    <n v="0"/>
    <n v="0"/>
    <n v="-2108.1219739532085"/>
  </r>
  <r>
    <x v="2"/>
    <d v="2022-04-05T00:00:00"/>
    <d v="2022-04-25T00:00:00"/>
    <x v="3"/>
    <n v="9"/>
    <n v="700"/>
    <n v="7.2418230508197396"/>
    <n v="4.7305566459474955"/>
    <n v="3311.3896521632469"/>
    <n v="5069.2761355738176"/>
    <n v="-1757.8864834105707"/>
    <n v="-95.98962433722572"/>
    <n v="-1853.8761077477964"/>
    <n v="0"/>
    <n v="0"/>
    <n v="0"/>
    <n v="-1853.8761077477964"/>
  </r>
  <r>
    <x v="3"/>
    <d v="2022-05-04T00:00:00"/>
    <d v="2022-05-24T00:00:00"/>
    <x v="3"/>
    <n v="9"/>
    <n v="549"/>
    <n v="7.2418230508197396"/>
    <n v="4.7305566459474955"/>
    <n v="2597.0755986251752"/>
    <n v="3975.760854900037"/>
    <n v="-1378.6852562748618"/>
    <n v="-75.283291087338455"/>
    <n v="-1453.9685473622003"/>
    <n v="0"/>
    <n v="0"/>
    <n v="0"/>
    <n v="-1453.9685473622003"/>
  </r>
  <r>
    <x v="4"/>
    <d v="2022-06-03T00:00:00"/>
    <d v="2022-06-23T00:00:00"/>
    <x v="3"/>
    <n v="9"/>
    <n v="753"/>
    <n v="7.2418230508197396"/>
    <n v="4.7305566459474955"/>
    <n v="3562.1091543984639"/>
    <n v="5453.0927572672636"/>
    <n v="-1890.9836028687996"/>
    <n v="-103.25741017990138"/>
    <n v="-1994.241013048701"/>
    <n v="0"/>
    <n v="0"/>
    <n v="0"/>
    <n v="-1994.241013048701"/>
  </r>
  <r>
    <x v="5"/>
    <d v="2022-07-05T00:00:00"/>
    <d v="2022-07-25T00:00:00"/>
    <x v="3"/>
    <n v="9"/>
    <n v="942"/>
    <n v="7.2418230508197396"/>
    <n v="4.7305566459474955"/>
    <n v="4456.1843604825408"/>
    <n v="6821.7973138721945"/>
    <n v="-2365.6129533896537"/>
    <n v="-129.17460875095233"/>
    <n v="-2494.787562140606"/>
    <n v="0"/>
    <n v="0"/>
    <n v="0"/>
    <n v="-2494.787562140606"/>
  </r>
  <r>
    <x v="6"/>
    <d v="2022-08-03T00:00:00"/>
    <d v="2022-08-23T00:00:00"/>
    <x v="3"/>
    <n v="9"/>
    <n v="1036"/>
    <n v="7.2418230508197396"/>
    <n v="4.7305566459474955"/>
    <n v="4900.8566852016056"/>
    <n v="7502.5286806492504"/>
    <n v="-2601.6719954476448"/>
    <n v="-142.06464401909406"/>
    <n v="-2743.7366394667388"/>
    <n v="0"/>
    <n v="0"/>
    <n v="0"/>
    <n v="-2743.7366394667388"/>
  </r>
  <r>
    <x v="7"/>
    <d v="2022-09-05T00:00:00"/>
    <d v="2022-09-23T00:00:00"/>
    <x v="3"/>
    <n v="9"/>
    <n v="954"/>
    <n v="7.2418230508197396"/>
    <n v="4.7305566459474955"/>
    <n v="4512.951040233911"/>
    <n v="6908.6991904820316"/>
    <n v="-2395.7481502481205"/>
    <n v="-130.8201451681619"/>
    <n v="-2526.5682954162826"/>
    <n v="0"/>
    <n v="0"/>
    <n v="0"/>
    <n v="-2526.5682954162826"/>
  </r>
  <r>
    <x v="8"/>
    <d v="2022-10-05T00:00:00"/>
    <d v="2022-10-25T00:00:00"/>
    <x v="3"/>
    <n v="9"/>
    <n v="860"/>
    <n v="7.2418230508197396"/>
    <n v="4.7305566459474955"/>
    <n v="4068.2787155148462"/>
    <n v="6227.9678237049757"/>
    <n v="-2159.6891081901294"/>
    <n v="-117.93010990002018"/>
    <n v="-2277.6192180901498"/>
    <n v="0"/>
    <n v="0"/>
    <n v="0"/>
    <n v="-2277.6192180901498"/>
  </r>
  <r>
    <x v="9"/>
    <d v="2022-11-03T00:00:00"/>
    <d v="2022-11-23T00:00:00"/>
    <x v="3"/>
    <n v="9"/>
    <n v="589"/>
    <n v="7.2418230508197396"/>
    <n v="4.7305566459474955"/>
    <n v="2786.2978644630748"/>
    <n v="4265.4337769328267"/>
    <n v="-1479.1359124697519"/>
    <n v="-80.768412478037064"/>
    <n v="-1559.9043249477891"/>
    <n v="0"/>
    <n v="0"/>
    <n v="0"/>
    <n v="-1559.9043249477891"/>
  </r>
  <r>
    <x v="10"/>
    <d v="2022-12-05T00:00:00"/>
    <d v="2022-12-23T00:00:00"/>
    <x v="3"/>
    <n v="9"/>
    <n v="730"/>
    <n v="7.2418230508197396"/>
    <n v="4.7305566459474955"/>
    <n v="3453.3063515416716"/>
    <n v="5286.5308270984096"/>
    <n v="-1833.2244755567381"/>
    <n v="-100.10346538024969"/>
    <n v="-1933.3279409369877"/>
    <n v="0"/>
    <n v="0"/>
    <n v="0"/>
    <n v="-1933.3279409369877"/>
  </r>
  <r>
    <x v="11"/>
    <d v="2023-01-04T00:00:00"/>
    <d v="2023-01-24T00:00:00"/>
    <x v="3"/>
    <n v="9"/>
    <n v="1123"/>
    <n v="7.2418230508197396"/>
    <n v="4.7305566459474955"/>
    <n v="5312.4151133990372"/>
    <n v="8132.5672860705672"/>
    <n v="-2820.15217267153"/>
    <n v="-153.99478304386355"/>
    <n v="-2974.1469557153937"/>
    <n v="0"/>
    <n v="0"/>
    <n v="0"/>
    <n v="-2974.1469557153937"/>
  </r>
  <r>
    <x v="0"/>
    <d v="2022-02-03T00:00:00"/>
    <d v="2022-02-23T00:00:00"/>
    <x v="4"/>
    <n v="9"/>
    <n v="48"/>
    <n v="7.2418230508197396"/>
    <n v="4.7305566459474955"/>
    <n v="227.0667190054798"/>
    <n v="347.6075064393475"/>
    <n v="-120.54078743386771"/>
    <n v="-6.5821456688383346"/>
    <n v="-127.12293310270604"/>
    <n v="0"/>
    <n v="0"/>
    <n v="0"/>
    <n v="-127.12293310270604"/>
  </r>
  <r>
    <x v="1"/>
    <d v="2022-03-03T00:00:00"/>
    <d v="2022-03-22T00:00:00"/>
    <x v="4"/>
    <n v="9"/>
    <n v="45"/>
    <n v="7.2418230508197396"/>
    <n v="4.7305566459474955"/>
    <n v="212.87504906763729"/>
    <n v="325.88203728688831"/>
    <n v="-113.00698821925101"/>
    <n v="-6.1707615645359395"/>
    <n v="-119.17774978378695"/>
    <n v="0"/>
    <n v="0"/>
    <n v="0"/>
    <n v="-119.17774978378695"/>
  </r>
  <r>
    <x v="2"/>
    <d v="2022-04-05T00:00:00"/>
    <d v="2022-04-25T00:00:00"/>
    <x v="4"/>
    <n v="9"/>
    <n v="38"/>
    <n v="7.2418230508197396"/>
    <n v="4.7305566459474955"/>
    <n v="179.76115254600484"/>
    <n v="275.18927593115012"/>
    <n v="-95.428123385145284"/>
    <n v="-5.2108653211636824"/>
    <n v="-100.63898870630896"/>
    <n v="0"/>
    <n v="0"/>
    <n v="0"/>
    <n v="-100.63898870630896"/>
  </r>
  <r>
    <x v="3"/>
    <d v="2022-05-04T00:00:00"/>
    <d v="2022-05-24T00:00:00"/>
    <x v="4"/>
    <n v="9"/>
    <n v="26"/>
    <n v="7.2418230508197396"/>
    <n v="4.7305566459474955"/>
    <n v="122.99447279463489"/>
    <n v="188.28739932131322"/>
    <n v="-65.292926526678329"/>
    <n v="-3.5653289039540979"/>
    <n v="-68.858255430632425"/>
    <n v="0"/>
    <n v="0"/>
    <n v="0"/>
    <n v="-68.858255430632425"/>
  </r>
  <r>
    <x v="4"/>
    <d v="2022-06-03T00:00:00"/>
    <d v="2022-06-23T00:00:00"/>
    <x v="4"/>
    <n v="9"/>
    <n v="43"/>
    <n v="7.2418230508197396"/>
    <n v="4.7305566459474955"/>
    <n v="203.41393577574232"/>
    <n v="311.39839118524878"/>
    <n v="-107.98445540950647"/>
    <n v="-5.8965054950010085"/>
    <n v="-113.88096090450748"/>
    <n v="0"/>
    <n v="0"/>
    <n v="0"/>
    <n v="-113.88096090450748"/>
  </r>
  <r>
    <x v="5"/>
    <d v="2022-07-05T00:00:00"/>
    <d v="2022-07-25T00:00:00"/>
    <x v="4"/>
    <n v="9"/>
    <n v="54"/>
    <n v="7.2418230508197396"/>
    <n v="4.7305566459474955"/>
    <n v="255.45005888116475"/>
    <n v="391.05844474426596"/>
    <n v="-135.6083858631012"/>
    <n v="-7.4049138774431276"/>
    <n v="-143.01329974054434"/>
    <n v="0"/>
    <n v="0"/>
    <n v="0"/>
    <n v="-143.01329974054434"/>
  </r>
  <r>
    <x v="6"/>
    <d v="2022-08-03T00:00:00"/>
    <d v="2022-08-23T00:00:00"/>
    <x v="4"/>
    <n v="9"/>
    <n v="57"/>
    <n v="7.2418230508197396"/>
    <n v="4.7305566459474955"/>
    <n v="269.64172881900726"/>
    <n v="412.78391389672515"/>
    <n v="-143.1421850777179"/>
    <n v="-7.8162979817455227"/>
    <n v="-150.95848305946342"/>
    <n v="0"/>
    <n v="0"/>
    <n v="0"/>
    <n v="-150.95848305946342"/>
  </r>
  <r>
    <x v="7"/>
    <d v="2022-09-05T00:00:00"/>
    <d v="2022-09-23T00:00:00"/>
    <x v="4"/>
    <n v="9"/>
    <n v="54"/>
    <n v="7.2418230508197396"/>
    <n v="4.7305566459474955"/>
    <n v="255.45005888116475"/>
    <n v="391.05844474426596"/>
    <n v="-135.6083858631012"/>
    <n v="-7.4049138774431276"/>
    <n v="-143.01329974054434"/>
    <n v="0"/>
    <n v="0"/>
    <n v="0"/>
    <n v="-143.01329974054434"/>
  </r>
  <r>
    <x v="8"/>
    <d v="2022-10-05T00:00:00"/>
    <d v="2022-10-25T00:00:00"/>
    <x v="4"/>
    <n v="9"/>
    <n v="53"/>
    <n v="7.2418230508197396"/>
    <n v="4.7305566459474955"/>
    <n v="250.71950223521725"/>
    <n v="383.81662169344622"/>
    <n v="-133.09711945822897"/>
    <n v="-7.2677858426756616"/>
    <n v="-140.36490530090464"/>
    <n v="0"/>
    <n v="0"/>
    <n v="0"/>
    <n v="-140.36490530090464"/>
  </r>
  <r>
    <x v="9"/>
    <d v="2022-11-03T00:00:00"/>
    <d v="2022-11-23T00:00:00"/>
    <x v="4"/>
    <n v="9"/>
    <n v="31"/>
    <n v="7.2418230508197396"/>
    <n v="4.7305566459474955"/>
    <n v="146.64725602437235"/>
    <n v="224.49651457541194"/>
    <n v="-77.849258551039583"/>
    <n v="-4.2509690777914244"/>
    <n v="-82.100227628831007"/>
    <n v="0"/>
    <n v="0"/>
    <n v="0"/>
    <n v="-82.100227628831007"/>
  </r>
  <r>
    <x v="10"/>
    <d v="2022-12-05T00:00:00"/>
    <d v="2022-12-23T00:00:00"/>
    <x v="4"/>
    <n v="9"/>
    <n v="38"/>
    <n v="7.2418230508197396"/>
    <n v="4.7305566459474955"/>
    <n v="179.76115254600484"/>
    <n v="275.18927593115012"/>
    <n v="-95.428123385145284"/>
    <n v="-5.2108653211636824"/>
    <n v="-100.63898870630896"/>
    <n v="0"/>
    <n v="0"/>
    <n v="0"/>
    <n v="-100.63898870630896"/>
  </r>
  <r>
    <x v="11"/>
    <d v="2023-01-04T00:00:00"/>
    <d v="2023-01-24T00:00:00"/>
    <x v="4"/>
    <n v="9"/>
    <n v="58"/>
    <n v="7.2418230508197396"/>
    <n v="4.7305566459474955"/>
    <n v="274.37228546495476"/>
    <n v="420.02573694754489"/>
    <n v="-145.65345148259013"/>
    <n v="-7.9534260165129886"/>
    <n v="-153.60687749910312"/>
    <n v="0"/>
    <n v="0"/>
    <n v="0"/>
    <n v="-153.60687749910312"/>
  </r>
  <r>
    <x v="0"/>
    <d v="2022-02-03T00:00:00"/>
    <d v="2022-02-23T00:00:00"/>
    <x v="5"/>
    <n v="9"/>
    <n v="50"/>
    <n v="7.2418230508197396"/>
    <n v="4.7305566459474955"/>
    <n v="236.52783229737477"/>
    <n v="362.09115254098697"/>
    <n v="-125.5633202436122"/>
    <n v="-6.8564017383732656"/>
    <n v="-132.41972198198548"/>
    <n v="0"/>
    <n v="0"/>
    <n v="0"/>
    <n v="-132.41972198198548"/>
  </r>
  <r>
    <x v="1"/>
    <d v="2022-03-03T00:00:00"/>
    <d v="2022-03-22T00:00:00"/>
    <x v="5"/>
    <n v="9"/>
    <n v="49"/>
    <n v="7.2418230508197396"/>
    <n v="4.7305566459474955"/>
    <n v="231.79727565142727"/>
    <n v="354.84932949016724"/>
    <n v="-123.05205383873997"/>
    <n v="-6.7192737036058006"/>
    <n v="-129.77132754234577"/>
    <n v="0"/>
    <n v="0"/>
    <n v="0"/>
    <n v="-129.77132754234577"/>
  </r>
  <r>
    <x v="2"/>
    <d v="2022-04-05T00:00:00"/>
    <d v="2022-04-25T00:00:00"/>
    <x v="5"/>
    <n v="9"/>
    <n v="45"/>
    <n v="7.2418230508197396"/>
    <n v="4.7305566459474955"/>
    <n v="212.87504906763729"/>
    <n v="325.88203728688831"/>
    <n v="-113.00698821925101"/>
    <n v="-6.1707615645359395"/>
    <n v="-119.17774978378695"/>
    <n v="0"/>
    <n v="0"/>
    <n v="0"/>
    <n v="-119.17774978378695"/>
  </r>
  <r>
    <x v="3"/>
    <d v="2022-05-04T00:00:00"/>
    <d v="2022-05-24T00:00:00"/>
    <x v="5"/>
    <n v="9"/>
    <n v="34"/>
    <n v="7.2418230508197396"/>
    <n v="4.7305566459474955"/>
    <n v="160.83892596221486"/>
    <n v="246.22198372787113"/>
    <n v="-85.383057765656275"/>
    <n v="-4.6623531820938213"/>
    <n v="-90.045410947750099"/>
    <n v="0"/>
    <n v="0"/>
    <n v="0"/>
    <n v="-90.045410947750099"/>
  </r>
  <r>
    <x v="4"/>
    <d v="2022-06-03T00:00:00"/>
    <d v="2022-06-23T00:00:00"/>
    <x v="5"/>
    <n v="9"/>
    <n v="42"/>
    <n v="7.2418230508197396"/>
    <n v="4.7305566459474955"/>
    <n v="198.68337912979482"/>
    <n v="304.15656813442905"/>
    <n v="-105.47318900463424"/>
    <n v="-5.7593774602335435"/>
    <n v="-111.23256646486777"/>
    <n v="0"/>
    <n v="0"/>
    <n v="0"/>
    <n v="-111.23256646486777"/>
  </r>
  <r>
    <x v="5"/>
    <d v="2022-07-05T00:00:00"/>
    <d v="2022-07-25T00:00:00"/>
    <x v="5"/>
    <n v="9"/>
    <n v="49"/>
    <n v="7.2418230508197396"/>
    <n v="4.7305566459474955"/>
    <n v="231.79727565142727"/>
    <n v="354.84932949016724"/>
    <n v="-123.05205383873997"/>
    <n v="-6.7192737036058006"/>
    <n v="-129.77132754234577"/>
    <n v="0"/>
    <n v="0"/>
    <n v="0"/>
    <n v="-129.77132754234577"/>
  </r>
  <r>
    <x v="6"/>
    <d v="2022-08-03T00:00:00"/>
    <d v="2022-08-23T00:00:00"/>
    <x v="5"/>
    <n v="9"/>
    <n v="54"/>
    <n v="7.2418230508197396"/>
    <n v="4.7305566459474955"/>
    <n v="255.45005888116475"/>
    <n v="391.05844474426596"/>
    <n v="-135.6083858631012"/>
    <n v="-7.4049138774431276"/>
    <n v="-143.01329974054434"/>
    <n v="0"/>
    <n v="0"/>
    <n v="0"/>
    <n v="-143.01329974054434"/>
  </r>
  <r>
    <x v="7"/>
    <d v="2022-09-05T00:00:00"/>
    <d v="2022-09-23T00:00:00"/>
    <x v="5"/>
    <n v="9"/>
    <n v="47"/>
    <n v="7.2418230508197396"/>
    <n v="4.7305566459474955"/>
    <n v="222.3361623595323"/>
    <n v="340.36568338852777"/>
    <n v="-118.02952102899548"/>
    <n v="-6.4450176340708696"/>
    <n v="-124.47453866306634"/>
    <n v="0"/>
    <n v="0"/>
    <n v="0"/>
    <n v="-124.47453866306634"/>
  </r>
  <r>
    <x v="8"/>
    <d v="2022-10-05T00:00:00"/>
    <d v="2022-10-25T00:00:00"/>
    <x v="5"/>
    <n v="9"/>
    <n v="47"/>
    <n v="7.2418230508197396"/>
    <n v="4.7305566459474955"/>
    <n v="222.3361623595323"/>
    <n v="340.36568338852777"/>
    <n v="-118.02952102899548"/>
    <n v="-6.4450176340708696"/>
    <n v="-124.47453866306634"/>
    <n v="0"/>
    <n v="0"/>
    <n v="0"/>
    <n v="-124.47453866306634"/>
  </r>
  <r>
    <x v="9"/>
    <d v="2022-11-03T00:00:00"/>
    <d v="2022-11-23T00:00:00"/>
    <x v="5"/>
    <n v="9"/>
    <n v="39"/>
    <n v="7.2418230508197396"/>
    <n v="4.7305566459474955"/>
    <n v="184.49170919195231"/>
    <n v="282.43109898196985"/>
    <n v="-97.939389790017543"/>
    <n v="-5.3479933559311466"/>
    <n v="-103.2873831459487"/>
    <n v="0"/>
    <n v="0"/>
    <n v="0"/>
    <n v="-103.2873831459487"/>
  </r>
  <r>
    <x v="10"/>
    <d v="2022-12-05T00:00:00"/>
    <d v="2022-12-23T00:00:00"/>
    <x v="5"/>
    <n v="9"/>
    <n v="45"/>
    <n v="7.2418230508197396"/>
    <n v="4.7305566459474955"/>
    <n v="212.87504906763729"/>
    <n v="325.88203728688831"/>
    <n v="-113.00698821925101"/>
    <n v="-6.1707615645359395"/>
    <n v="-119.17774978378695"/>
    <n v="0"/>
    <n v="0"/>
    <n v="0"/>
    <n v="-119.17774978378695"/>
  </r>
  <r>
    <x v="11"/>
    <d v="2023-01-04T00:00:00"/>
    <d v="2023-01-24T00:00:00"/>
    <x v="5"/>
    <n v="9"/>
    <n v="61"/>
    <n v="7.2418230508197396"/>
    <n v="4.7305566459474955"/>
    <n v="288.56395540279721"/>
    <n v="441.75120610000414"/>
    <n v="-153.18725069720693"/>
    <n v="-8.3648101208153829"/>
    <n v="-161.55206081802231"/>
    <n v="0"/>
    <n v="0"/>
    <n v="0"/>
    <n v="-161.55206081802231"/>
  </r>
  <r>
    <x v="0"/>
    <d v="2022-02-03T00:00:00"/>
    <d v="2022-02-23T00:00:00"/>
    <x v="6"/>
    <n v="9"/>
    <n v="92"/>
    <n v="7.2418230508197396"/>
    <n v="4.7305566459474955"/>
    <n v="435.21121142716959"/>
    <n v="666.24772067541608"/>
    <n v="-231.03650924824649"/>
    <n v="-12.615779198606809"/>
    <n v="-243.65228844685331"/>
    <n v="0"/>
    <n v="0"/>
    <n v="0"/>
    <n v="-243.65228844685331"/>
  </r>
  <r>
    <x v="1"/>
    <d v="2022-03-03T00:00:00"/>
    <d v="2022-03-22T00:00:00"/>
    <x v="6"/>
    <n v="9"/>
    <n v="88"/>
    <n v="7.2418230508197396"/>
    <n v="4.7305566459474955"/>
    <n v="416.28898484337958"/>
    <n v="637.28042847213715"/>
    <n v="-220.99144362875757"/>
    <n v="-12.067267059536947"/>
    <n v="-233.05871068829452"/>
    <n v="0"/>
    <n v="0"/>
    <n v="0"/>
    <n v="-233.05871068829452"/>
  </r>
  <r>
    <x v="2"/>
    <d v="2022-04-05T00:00:00"/>
    <d v="2022-04-25T00:00:00"/>
    <x v="6"/>
    <n v="9"/>
    <n v="71"/>
    <n v="7.2418230508197396"/>
    <n v="4.7305566459474955"/>
    <n v="335.86952186227217"/>
    <n v="514.16943660820152"/>
    <n v="-178.29991474592936"/>
    <n v="-9.7360904684900369"/>
    <n v="-188.03600521441939"/>
    <n v="0"/>
    <n v="0"/>
    <n v="0"/>
    <n v="-188.03600521441939"/>
  </r>
  <r>
    <x v="3"/>
    <d v="2022-05-04T00:00:00"/>
    <d v="2022-05-24T00:00:00"/>
    <x v="6"/>
    <n v="9"/>
    <n v="76"/>
    <n v="7.2418230508197396"/>
    <n v="4.7305566459474955"/>
    <n v="359.52230509200967"/>
    <n v="550.37855186230024"/>
    <n v="-190.85624677029057"/>
    <n v="-10.421730642327365"/>
    <n v="-201.27797741261793"/>
    <n v="0"/>
    <n v="0"/>
    <n v="0"/>
    <n v="-201.27797741261793"/>
  </r>
  <r>
    <x v="4"/>
    <d v="2022-06-03T00:00:00"/>
    <d v="2022-06-23T00:00:00"/>
    <x v="6"/>
    <n v="9"/>
    <n v="134"/>
    <n v="7.2418230508197396"/>
    <n v="4.7305566459474955"/>
    <n v="633.89459055696443"/>
    <n v="970.40428880984507"/>
    <n v="-336.50969825288064"/>
    <n v="-18.375156658840353"/>
    <n v="-354.88485491172099"/>
    <n v="0"/>
    <n v="0"/>
    <n v="0"/>
    <n v="-354.88485491172099"/>
  </r>
  <r>
    <x v="5"/>
    <d v="2022-07-05T00:00:00"/>
    <d v="2022-07-25T00:00:00"/>
    <x v="6"/>
    <n v="9"/>
    <n v="145"/>
    <n v="7.2418230508197396"/>
    <n v="4.7305566459474955"/>
    <n v="685.93071366238689"/>
    <n v="1050.0643423688623"/>
    <n v="-364.13362870647541"/>
    <n v="-19.88356504128247"/>
    <n v="-384.01719374775786"/>
    <n v="0"/>
    <n v="0"/>
    <n v="0"/>
    <n v="-384.01719374775786"/>
  </r>
  <r>
    <x v="6"/>
    <d v="2022-08-03T00:00:00"/>
    <d v="2022-08-23T00:00:00"/>
    <x v="6"/>
    <n v="9"/>
    <n v="161"/>
    <n v="7.2418230508197396"/>
    <n v="4.7305566459474955"/>
    <n v="761.61961999754681"/>
    <n v="1165.933511181978"/>
    <n v="-404.31389118443121"/>
    <n v="-22.077613597561914"/>
    <n v="-426.39150478199315"/>
    <n v="0"/>
    <n v="0"/>
    <n v="0"/>
    <n v="-426.39150478199315"/>
  </r>
  <r>
    <x v="7"/>
    <d v="2022-09-05T00:00:00"/>
    <d v="2022-09-23T00:00:00"/>
    <x v="6"/>
    <n v="9"/>
    <n v="154"/>
    <n v="7.2418230508197396"/>
    <n v="4.7305566459474955"/>
    <n v="728.50572347591435"/>
    <n v="1115.2407498262398"/>
    <n v="-386.73502635032548"/>
    <n v="-21.117717354189658"/>
    <n v="-407.85274370451515"/>
    <n v="0"/>
    <n v="0"/>
    <n v="0"/>
    <n v="-407.85274370451515"/>
  </r>
  <r>
    <x v="8"/>
    <d v="2022-10-05T00:00:00"/>
    <d v="2022-10-25T00:00:00"/>
    <x v="6"/>
    <n v="9"/>
    <n v="132"/>
    <n v="7.2418230508197396"/>
    <n v="4.7305566459474955"/>
    <n v="624.43347726506943"/>
    <n v="955.92064270820561"/>
    <n v="-331.48716544313618"/>
    <n v="-18.100900589305422"/>
    <n v="-349.58806603244159"/>
    <n v="0"/>
    <n v="0"/>
    <n v="0"/>
    <n v="-349.58806603244159"/>
  </r>
  <r>
    <x v="9"/>
    <d v="2022-11-03T00:00:00"/>
    <d v="2022-11-23T00:00:00"/>
    <x v="6"/>
    <n v="9"/>
    <n v="91"/>
    <n v="7.2418230508197396"/>
    <n v="4.7305566459474955"/>
    <n v="430.48065478122209"/>
    <n v="659.00589762459629"/>
    <n v="-228.5252428433742"/>
    <n v="-12.478651163839343"/>
    <n v="-241.00389400721355"/>
    <n v="0"/>
    <n v="0"/>
    <n v="0"/>
    <n v="-241.00389400721355"/>
  </r>
  <r>
    <x v="10"/>
    <d v="2022-12-05T00:00:00"/>
    <d v="2022-12-23T00:00:00"/>
    <x v="6"/>
    <n v="9"/>
    <n v="67"/>
    <n v="7.2418230508197396"/>
    <n v="4.7305566459474955"/>
    <n v="316.94729527848222"/>
    <n v="485.20214440492254"/>
    <n v="-168.25484912644032"/>
    <n v="-9.1875783294201767"/>
    <n v="-177.4424274558605"/>
    <n v="0"/>
    <n v="0"/>
    <n v="0"/>
    <n v="-177.4424274558605"/>
  </r>
  <r>
    <x v="11"/>
    <d v="2023-01-04T00:00:00"/>
    <d v="2023-01-24T00:00:00"/>
    <x v="6"/>
    <n v="9"/>
    <n v="96"/>
    <n v="7.2418230508197396"/>
    <n v="4.7305566459474955"/>
    <n v="454.13343801095959"/>
    <n v="695.21501287869501"/>
    <n v="-241.08157486773541"/>
    <n v="-13.164291337676669"/>
    <n v="-254.24586620541209"/>
    <n v="0"/>
    <n v="0"/>
    <n v="0"/>
    <n v="-254.24586620541209"/>
  </r>
  <r>
    <x v="0"/>
    <d v="2022-02-03T00:00:00"/>
    <d v="2022-02-23T00:00:00"/>
    <x v="7"/>
    <n v="9"/>
    <n v="42"/>
    <n v="7.2418230508197396"/>
    <n v="4.7305566459474955"/>
    <n v="198.68337912979482"/>
    <n v="304.15656813442905"/>
    <n v="-105.47318900463424"/>
    <n v="-5.7593774602335435"/>
    <n v="-111.23256646486777"/>
    <n v="0"/>
    <n v="0"/>
    <n v="0"/>
    <n v="-111.23256646486777"/>
  </r>
  <r>
    <x v="1"/>
    <d v="2022-03-03T00:00:00"/>
    <d v="2022-03-22T00:00:00"/>
    <x v="7"/>
    <n v="9"/>
    <n v="43"/>
    <n v="7.2418230508197396"/>
    <n v="4.7305566459474955"/>
    <n v="203.41393577574232"/>
    <n v="311.39839118524878"/>
    <n v="-107.98445540950647"/>
    <n v="-5.8965054950010085"/>
    <n v="-113.88096090450748"/>
    <n v="0"/>
    <n v="0"/>
    <n v="0"/>
    <n v="-113.88096090450748"/>
  </r>
  <r>
    <x v="2"/>
    <d v="2022-04-05T00:00:00"/>
    <d v="2022-04-25T00:00:00"/>
    <x v="7"/>
    <n v="9"/>
    <n v="42"/>
    <n v="7.2418230508197396"/>
    <n v="4.7305566459474955"/>
    <n v="198.68337912979482"/>
    <n v="304.15656813442905"/>
    <n v="-105.47318900463424"/>
    <n v="-5.7593774602335435"/>
    <n v="-111.23256646486777"/>
    <n v="0"/>
    <n v="0"/>
    <n v="0"/>
    <n v="-111.23256646486777"/>
  </r>
  <r>
    <x v="3"/>
    <d v="2022-05-04T00:00:00"/>
    <d v="2022-05-24T00:00:00"/>
    <x v="7"/>
    <n v="9"/>
    <n v="52"/>
    <n v="7.2418230508197396"/>
    <n v="4.7305566459474955"/>
    <n v="245.98894558926978"/>
    <n v="376.57479864262643"/>
    <n v="-130.58585305335666"/>
    <n v="-7.1306578079081957"/>
    <n v="-137.71651086126485"/>
    <n v="0"/>
    <n v="0"/>
    <n v="0"/>
    <n v="-137.71651086126485"/>
  </r>
  <r>
    <x v="4"/>
    <d v="2022-06-03T00:00:00"/>
    <d v="2022-06-23T00:00:00"/>
    <x v="7"/>
    <n v="9"/>
    <n v="52"/>
    <n v="7.2418230508197396"/>
    <n v="4.7305566459474955"/>
    <n v="245.98894558926978"/>
    <n v="376.57479864262643"/>
    <n v="-130.58585305335666"/>
    <n v="-7.1306578079081957"/>
    <n v="-137.71651086126485"/>
    <n v="0"/>
    <n v="0"/>
    <n v="0"/>
    <n v="-137.71651086126485"/>
  </r>
  <r>
    <x v="5"/>
    <d v="2022-07-05T00:00:00"/>
    <d v="2022-07-25T00:00:00"/>
    <x v="7"/>
    <n v="9"/>
    <n v="56"/>
    <n v="7.2418230508197396"/>
    <n v="4.7305566459474955"/>
    <n v="264.91117217305975"/>
    <n v="405.54209084590542"/>
    <n v="-140.63091867284567"/>
    <n v="-7.6791699469780568"/>
    <n v="-148.31008861982372"/>
    <n v="0"/>
    <n v="0"/>
    <n v="0"/>
    <n v="-148.31008861982372"/>
  </r>
  <r>
    <x v="6"/>
    <d v="2022-08-03T00:00:00"/>
    <d v="2022-08-23T00:00:00"/>
    <x v="7"/>
    <n v="9"/>
    <n v="58"/>
    <n v="7.2418230508197396"/>
    <n v="4.7305566459474955"/>
    <n v="274.37228546495476"/>
    <n v="420.02573694754489"/>
    <n v="-145.65345148259013"/>
    <n v="-7.9534260165129886"/>
    <n v="-153.60687749910312"/>
    <n v="0"/>
    <n v="0"/>
    <n v="0"/>
    <n v="-153.60687749910312"/>
  </r>
  <r>
    <x v="7"/>
    <d v="2022-09-05T00:00:00"/>
    <d v="2022-09-23T00:00:00"/>
    <x v="7"/>
    <n v="9"/>
    <n v="60"/>
    <n v="7.2418230508197396"/>
    <n v="4.7305566459474955"/>
    <n v="283.8333987568497"/>
    <n v="434.50938304918441"/>
    <n v="-150.6759842923347"/>
    <n v="-8.2276820860479187"/>
    <n v="-158.90366637838261"/>
    <n v="0"/>
    <n v="0"/>
    <n v="0"/>
    <n v="-158.90366637838261"/>
  </r>
  <r>
    <x v="8"/>
    <d v="2022-10-05T00:00:00"/>
    <d v="2022-10-25T00:00:00"/>
    <x v="7"/>
    <n v="9"/>
    <n v="58"/>
    <n v="7.2418230508197396"/>
    <n v="4.7305566459474955"/>
    <n v="274.37228546495476"/>
    <n v="420.02573694754489"/>
    <n v="-145.65345148259013"/>
    <n v="-7.9534260165129886"/>
    <n v="-153.60687749910312"/>
    <n v="0"/>
    <n v="0"/>
    <n v="0"/>
    <n v="-153.60687749910312"/>
  </r>
  <r>
    <x v="9"/>
    <d v="2022-11-03T00:00:00"/>
    <d v="2022-11-23T00:00:00"/>
    <x v="7"/>
    <n v="9"/>
    <n v="56"/>
    <n v="7.2418230508197396"/>
    <n v="4.7305566459474955"/>
    <n v="264.91117217305975"/>
    <n v="405.54209084590542"/>
    <n v="-140.63091867284567"/>
    <n v="-7.6791699469780568"/>
    <n v="-148.31008861982372"/>
    <n v="0"/>
    <n v="0"/>
    <n v="0"/>
    <n v="-148.31008861982372"/>
  </r>
  <r>
    <x v="10"/>
    <d v="2022-12-05T00:00:00"/>
    <d v="2022-12-23T00:00:00"/>
    <x v="7"/>
    <n v="9"/>
    <n v="59"/>
    <n v="7.2418230508197396"/>
    <n v="4.7305566459474955"/>
    <n v="279.10284211090226"/>
    <n v="427.26755999836462"/>
    <n v="-148.16471788746236"/>
    <n v="-8.0905540512804546"/>
    <n v="-156.25527193874282"/>
    <n v="0"/>
    <n v="0"/>
    <n v="0"/>
    <n v="-156.25527193874282"/>
  </r>
  <r>
    <x v="11"/>
    <d v="2023-01-04T00:00:00"/>
    <d v="2023-01-24T00:00:00"/>
    <x v="7"/>
    <n v="9"/>
    <n v="58"/>
    <n v="7.2418230508197396"/>
    <n v="4.7305566459474955"/>
    <n v="274.37228546495476"/>
    <n v="420.02573694754489"/>
    <n v="-145.65345148259013"/>
    <n v="-7.9534260165129886"/>
    <n v="-153.60687749910312"/>
    <n v="0"/>
    <n v="0"/>
    <n v="0"/>
    <n v="-153.60687749910312"/>
  </r>
  <r>
    <x v="0"/>
    <d v="2022-02-03T00:00:00"/>
    <d v="2022-02-23T00:00:00"/>
    <x v="8"/>
    <n v="9"/>
    <n v="1045"/>
    <n v="7.2418230508197396"/>
    <n v="4.7305566459474955"/>
    <n v="4943.4316950151324"/>
    <n v="7567.705088106628"/>
    <n v="-2624.2733930914956"/>
    <n v="-143.29879633200127"/>
    <n v="-2767.5721894234966"/>
    <n v="0"/>
    <n v="0"/>
    <n v="0"/>
    <n v="-2767.5721894234966"/>
  </r>
  <r>
    <x v="1"/>
    <d v="2022-03-03T00:00:00"/>
    <d v="2022-03-22T00:00:00"/>
    <x v="8"/>
    <n v="9"/>
    <n v="1114"/>
    <n v="7.2418230508197396"/>
    <n v="4.7305566459474955"/>
    <n v="5269.8401035855104"/>
    <n v="8067.3908786131897"/>
    <n v="-2797.5507750276793"/>
    <n v="-152.76063073095636"/>
    <n v="-2950.3114057586358"/>
    <n v="0"/>
    <n v="0"/>
    <n v="0"/>
    <n v="-2950.3114057586358"/>
  </r>
  <r>
    <x v="2"/>
    <d v="2022-04-05T00:00:00"/>
    <d v="2022-04-25T00:00:00"/>
    <x v="8"/>
    <n v="9"/>
    <n v="977"/>
    <n v="7.2418230508197396"/>
    <n v="4.7305566459474955"/>
    <n v="4621.7538430907034"/>
    <n v="7075.2611206508855"/>
    <n v="-2453.507277560182"/>
    <n v="-133.9740899678136"/>
    <n v="-2587.4813675279956"/>
    <n v="0"/>
    <n v="0"/>
    <n v="0"/>
    <n v="-2587.4813675279956"/>
  </r>
  <r>
    <x v="3"/>
    <d v="2022-05-04T00:00:00"/>
    <d v="2022-05-24T00:00:00"/>
    <x v="8"/>
    <n v="9"/>
    <n v="539"/>
    <n v="7.2418230508197396"/>
    <n v="4.7305566459474955"/>
    <n v="2549.7700321657003"/>
    <n v="3903.3426243918398"/>
    <n v="-1353.5725922261395"/>
    <n v="-73.912010739663799"/>
    <n v="-1427.4846029658033"/>
    <n v="0"/>
    <n v="0"/>
    <n v="0"/>
    <n v="-1427.4846029658033"/>
  </r>
  <r>
    <x v="4"/>
    <d v="2022-06-03T00:00:00"/>
    <d v="2022-06-23T00:00:00"/>
    <x v="8"/>
    <n v="9"/>
    <n v="754"/>
    <n v="7.2418230508197396"/>
    <n v="4.7305566459474955"/>
    <n v="3566.8397110444116"/>
    <n v="5460.3345803180837"/>
    <n v="-1893.4948692736721"/>
    <n v="-103.39453821466884"/>
    <n v="-1996.889407488341"/>
    <n v="0"/>
    <n v="0"/>
    <n v="0"/>
    <n v="-1996.889407488341"/>
  </r>
  <r>
    <x v="5"/>
    <d v="2022-07-05T00:00:00"/>
    <d v="2022-07-25T00:00:00"/>
    <x v="8"/>
    <n v="9"/>
    <n v="946"/>
    <n v="7.2418230508197396"/>
    <n v="4.7305566459474955"/>
    <n v="4475.1065870663306"/>
    <n v="6850.7646060754741"/>
    <n v="-2375.6580190091436"/>
    <n v="-129.72312089002219"/>
    <n v="-2505.3811398991656"/>
    <n v="0"/>
    <n v="0"/>
    <n v="0"/>
    <n v="-2505.3811398991656"/>
  </r>
  <r>
    <x v="6"/>
    <d v="2022-08-03T00:00:00"/>
    <d v="2022-08-23T00:00:00"/>
    <x v="8"/>
    <n v="9"/>
    <n v="979"/>
    <n v="7.2418230508197396"/>
    <n v="4.7305566459474955"/>
    <n v="4631.2149563825978"/>
    <n v="7089.7447667525248"/>
    <n v="-2458.529810369927"/>
    <n v="-134.24834603734854"/>
    <n v="-2592.7781564072757"/>
    <n v="0"/>
    <n v="0"/>
    <n v="0"/>
    <n v="-2592.7781564072757"/>
  </r>
  <r>
    <x v="7"/>
    <d v="2022-09-05T00:00:00"/>
    <d v="2022-09-23T00:00:00"/>
    <x v="8"/>
    <n v="9"/>
    <n v="973"/>
    <n v="7.2418230508197396"/>
    <n v="4.7305566459474955"/>
    <n v="4602.8316165069127"/>
    <n v="7046.2938284476068"/>
    <n v="-2443.462211940694"/>
    <n v="-133.42557782874374"/>
    <n v="-2576.8877897694379"/>
    <n v="0"/>
    <n v="0"/>
    <n v="0"/>
    <n v="-2576.8877897694379"/>
  </r>
  <r>
    <x v="8"/>
    <d v="2022-10-05T00:00:00"/>
    <d v="2022-10-25T00:00:00"/>
    <x v="8"/>
    <n v="9"/>
    <n v="847"/>
    <n v="7.2418230508197396"/>
    <n v="4.7305566459474955"/>
    <n v="4006.7814791175288"/>
    <n v="6133.8241240443194"/>
    <n v="-2127.0426449267907"/>
    <n v="-116.14744544804311"/>
    <n v="-2243.1900903748337"/>
    <n v="0"/>
    <n v="0"/>
    <n v="0"/>
    <n v="-2243.1900903748337"/>
  </r>
  <r>
    <x v="9"/>
    <d v="2022-11-03T00:00:00"/>
    <d v="2022-11-23T00:00:00"/>
    <x v="8"/>
    <n v="9"/>
    <n v="609"/>
    <n v="7.2418230508197396"/>
    <n v="4.7305566459474955"/>
    <n v="2880.9089973820246"/>
    <n v="4410.2702379492212"/>
    <n v="-1529.3612405671965"/>
    <n v="-83.510973173386375"/>
    <n v="-1612.872213740583"/>
    <n v="0"/>
    <n v="0"/>
    <n v="0"/>
    <n v="-1612.872213740583"/>
  </r>
  <r>
    <x v="10"/>
    <d v="2022-12-05T00:00:00"/>
    <d v="2022-12-23T00:00:00"/>
    <x v="8"/>
    <n v="9"/>
    <n v="807"/>
    <n v="7.2418230508197396"/>
    <n v="4.7305566459474955"/>
    <n v="3817.5592132796287"/>
    <n v="5844.1512020115297"/>
    <n v="-2026.591988731901"/>
    <n v="-110.66232405734451"/>
    <n v="-2137.2543127892454"/>
    <n v="0"/>
    <n v="0"/>
    <n v="0"/>
    <n v="-2137.2543127892454"/>
  </r>
  <r>
    <x v="11"/>
    <d v="2023-01-04T00:00:00"/>
    <d v="2023-01-24T00:00:00"/>
    <x v="8"/>
    <n v="9"/>
    <n v="1434"/>
    <n v="7.2418230508197396"/>
    <n v="4.7305566459474955"/>
    <n v="6783.6182302887082"/>
    <n v="10384.774254875507"/>
    <n v="-3601.1560245867986"/>
    <n v="-196.64160185654524"/>
    <n v="-3797.7976264433437"/>
    <n v="0"/>
    <n v="0"/>
    <n v="0"/>
    <n v="-3797.7976264433437"/>
  </r>
  <r>
    <x v="0"/>
    <d v="2022-02-03T00:00:00"/>
    <d v="2022-02-23T00:00:00"/>
    <x v="9"/>
    <n v="9"/>
    <n v="8"/>
    <n v="7.2418230508197396"/>
    <n v="4.7305566459474955"/>
    <n v="37.844453167579964"/>
    <n v="57.934584406557917"/>
    <n v="-20.090131238977953"/>
    <n v="-1.0970242781397226"/>
    <n v="-21.187155517117677"/>
    <n v="0"/>
    <n v="0"/>
    <n v="0"/>
    <n v="-21.187155517117677"/>
  </r>
  <r>
    <x v="1"/>
    <d v="2022-03-03T00:00:00"/>
    <d v="2022-03-22T00:00:00"/>
    <x v="9"/>
    <n v="9"/>
    <n v="7"/>
    <n v="7.2418230508197396"/>
    <n v="4.7305566459474955"/>
    <n v="33.113896521632469"/>
    <n v="50.692761355738178"/>
    <n v="-17.578864834105708"/>
    <n v="-0.9598962433722571"/>
    <n v="-18.538761077477965"/>
    <n v="0"/>
    <n v="0"/>
    <n v="0"/>
    <n v="-18.538761077477965"/>
  </r>
  <r>
    <x v="2"/>
    <d v="2022-04-05T00:00:00"/>
    <d v="2022-04-25T00:00:00"/>
    <x v="9"/>
    <n v="9"/>
    <n v="5"/>
    <n v="7.2418230508197396"/>
    <n v="4.7305566459474955"/>
    <n v="23.652783229737476"/>
    <n v="36.209115254098698"/>
    <n v="-12.556332024361222"/>
    <n v="-0.68564017383732656"/>
    <n v="-13.241972198198548"/>
    <n v="0"/>
    <n v="0"/>
    <n v="0"/>
    <n v="-13.241972198198548"/>
  </r>
  <r>
    <x v="3"/>
    <d v="2022-05-04T00:00:00"/>
    <d v="2022-05-24T00:00:00"/>
    <x v="9"/>
    <n v="9"/>
    <n v="7"/>
    <n v="7.2418230508197396"/>
    <n v="4.7305566459474955"/>
    <n v="33.113896521632469"/>
    <n v="50.692761355738178"/>
    <n v="-17.578864834105708"/>
    <n v="-0.9598962433722571"/>
    <n v="-18.538761077477965"/>
    <n v="0"/>
    <n v="0"/>
    <n v="0"/>
    <n v="-18.538761077477965"/>
  </r>
  <r>
    <x v="4"/>
    <d v="2022-06-03T00:00:00"/>
    <d v="2022-06-23T00:00:00"/>
    <x v="9"/>
    <n v="9"/>
    <n v="10"/>
    <n v="7.2418230508197396"/>
    <n v="4.7305566459474955"/>
    <n v="47.305566459474953"/>
    <n v="72.418230508197396"/>
    <n v="-25.112664048722444"/>
    <n v="-1.3712803476746531"/>
    <n v="-26.483944396397096"/>
    <n v="0"/>
    <n v="0"/>
    <n v="0"/>
    <n v="-26.483944396397096"/>
  </r>
  <r>
    <x v="5"/>
    <d v="2022-07-05T00:00:00"/>
    <d v="2022-07-25T00:00:00"/>
    <x v="9"/>
    <n v="9"/>
    <n v="14"/>
    <n v="7.2418230508197396"/>
    <n v="4.7305566459474955"/>
    <n v="66.227793043264938"/>
    <n v="101.38552271147636"/>
    <n v="-35.157729668211417"/>
    <n v="-1.9197924867445142"/>
    <n v="-37.077522154955929"/>
    <n v="0"/>
    <n v="0"/>
    <n v="0"/>
    <n v="-37.077522154955929"/>
  </r>
  <r>
    <x v="6"/>
    <d v="2022-08-03T00:00:00"/>
    <d v="2022-08-23T00:00:00"/>
    <x v="9"/>
    <n v="9"/>
    <n v="18"/>
    <n v="7.2418230508197396"/>
    <n v="4.7305566459474955"/>
    <n v="85.150019627054917"/>
    <n v="130.3528149147553"/>
    <n v="-45.202795287700383"/>
    <n v="-2.4683046258143757"/>
    <n v="-47.671099913514759"/>
    <n v="0"/>
    <n v="0"/>
    <n v="0"/>
    <n v="-47.671099913514759"/>
  </r>
  <r>
    <x v="7"/>
    <d v="2022-09-05T00:00:00"/>
    <d v="2022-09-23T00:00:00"/>
    <x v="9"/>
    <n v="9"/>
    <n v="16"/>
    <n v="7.2418230508197396"/>
    <n v="4.7305566459474955"/>
    <n v="75.688906335159928"/>
    <n v="115.86916881311583"/>
    <n v="-40.180262477955907"/>
    <n v="-2.1940485562794452"/>
    <n v="-42.374311034235355"/>
    <n v="0"/>
    <n v="0"/>
    <n v="0"/>
    <n v="-42.374311034235355"/>
  </r>
  <r>
    <x v="8"/>
    <d v="2022-10-05T00:00:00"/>
    <d v="2022-10-25T00:00:00"/>
    <x v="9"/>
    <n v="9"/>
    <n v="9"/>
    <n v="7.2418230508197396"/>
    <n v="4.7305566459474955"/>
    <n v="42.575009813527458"/>
    <n v="65.17640745737765"/>
    <n v="-22.601397643850191"/>
    <n v="-1.2341523129071879"/>
    <n v="-23.835549956757379"/>
    <n v="0"/>
    <n v="0"/>
    <n v="0"/>
    <n v="-23.835549956757379"/>
  </r>
  <r>
    <x v="9"/>
    <d v="2022-11-03T00:00:00"/>
    <d v="2022-11-23T00:00:00"/>
    <x v="9"/>
    <n v="9"/>
    <n v="6"/>
    <n v="7.2418230508197396"/>
    <n v="4.7305566459474955"/>
    <n v="28.383339875684975"/>
    <n v="43.450938304918438"/>
    <n v="-15.067598429233463"/>
    <n v="-0.82276820860479183"/>
    <n v="-15.890366637838255"/>
    <n v="0"/>
    <n v="0"/>
    <n v="0"/>
    <n v="-15.890366637838255"/>
  </r>
  <r>
    <x v="10"/>
    <d v="2022-12-05T00:00:00"/>
    <d v="2022-12-23T00:00:00"/>
    <x v="9"/>
    <n v="9"/>
    <n v="6"/>
    <n v="7.2418230508197396"/>
    <n v="4.7305566459474955"/>
    <n v="28.383339875684975"/>
    <n v="43.450938304918438"/>
    <n v="-15.067598429233463"/>
    <n v="-0.82276820860479183"/>
    <n v="-15.890366637838255"/>
    <n v="0"/>
    <n v="0"/>
    <n v="0"/>
    <n v="-15.890366637838255"/>
  </r>
  <r>
    <x v="11"/>
    <d v="2023-01-04T00:00:00"/>
    <d v="2023-01-24T00:00:00"/>
    <x v="9"/>
    <n v="9"/>
    <n v="8"/>
    <n v="7.2418230508197396"/>
    <n v="4.7305566459474955"/>
    <n v="37.844453167579964"/>
    <n v="57.934584406557917"/>
    <n v="-20.090131238977953"/>
    <n v="-1.0970242781397226"/>
    <n v="-21.187155517117677"/>
    <n v="0"/>
    <n v="0"/>
    <n v="0"/>
    <n v="-21.187155517117677"/>
  </r>
  <r>
    <x v="0"/>
    <d v="2022-02-03T00:00:00"/>
    <d v="2022-02-23T00:00:00"/>
    <x v="10"/>
    <n v="9"/>
    <n v="3"/>
    <n v="7.2418230508197396"/>
    <n v="4.7305566459474955"/>
    <n v="14.191669937842487"/>
    <n v="21.725469152459219"/>
    <n v="-7.5337992146167316"/>
    <n v="-0.41138410430239591"/>
    <n v="-7.9451833189191277"/>
    <n v="0"/>
    <n v="0"/>
    <n v="0"/>
    <n v="-7.9451833189191277"/>
  </r>
  <r>
    <x v="1"/>
    <d v="2022-03-03T00:00:00"/>
    <d v="2022-03-22T00:00:00"/>
    <x v="10"/>
    <n v="9"/>
    <n v="2"/>
    <n v="7.2418230508197396"/>
    <n v="4.7305566459474955"/>
    <n v="9.461113291894991"/>
    <n v="14.483646101639479"/>
    <n v="-5.0225328097444883"/>
    <n v="-0.27425606953493065"/>
    <n v="-5.2967888792794193"/>
    <n v="0"/>
    <n v="0"/>
    <n v="0"/>
    <n v="-5.2967888792794193"/>
  </r>
  <r>
    <x v="2"/>
    <d v="2022-04-05T00:00:00"/>
    <d v="2022-04-25T00:00:00"/>
    <x v="10"/>
    <n v="9"/>
    <n v="3"/>
    <n v="7.2418230508197396"/>
    <n v="4.7305566459474955"/>
    <n v="14.191669937842487"/>
    <n v="21.725469152459219"/>
    <n v="-7.5337992146167316"/>
    <n v="-0.41138410430239591"/>
    <n v="-7.9451833189191277"/>
    <n v="0"/>
    <n v="0"/>
    <n v="0"/>
    <n v="-7.9451833189191277"/>
  </r>
  <r>
    <x v="3"/>
    <d v="2022-05-04T00:00:00"/>
    <d v="2022-05-24T00:00:00"/>
    <x v="10"/>
    <n v="9"/>
    <n v="2"/>
    <n v="7.2418230508197396"/>
    <n v="4.7305566459474955"/>
    <n v="9.461113291894991"/>
    <n v="14.483646101639479"/>
    <n v="-5.0225328097444883"/>
    <n v="-0.27425606953493065"/>
    <n v="-5.2967888792794193"/>
    <n v="0"/>
    <n v="0"/>
    <n v="0"/>
    <n v="-5.2967888792794193"/>
  </r>
  <r>
    <x v="4"/>
    <d v="2022-06-03T00:00:00"/>
    <d v="2022-06-23T00:00:00"/>
    <x v="10"/>
    <n v="9"/>
    <n v="3"/>
    <n v="7.2418230508197396"/>
    <n v="4.7305566459474955"/>
    <n v="14.191669937842487"/>
    <n v="21.725469152459219"/>
    <n v="-7.5337992146167316"/>
    <n v="-0.41138410430239591"/>
    <n v="-7.9451833189191277"/>
    <n v="0"/>
    <n v="0"/>
    <n v="0"/>
    <n v="-7.9451833189191277"/>
  </r>
  <r>
    <x v="5"/>
    <d v="2022-07-05T00:00:00"/>
    <d v="2022-07-25T00:00:00"/>
    <x v="10"/>
    <n v="9"/>
    <n v="5"/>
    <n v="7.2418230508197396"/>
    <n v="4.7305566459474955"/>
    <n v="23.652783229737476"/>
    <n v="36.209115254098698"/>
    <n v="-12.556332024361222"/>
    <n v="-0.68564017383732656"/>
    <n v="-13.241972198198548"/>
    <n v="0"/>
    <n v="0"/>
    <n v="0"/>
    <n v="-13.241972198198548"/>
  </r>
  <r>
    <x v="6"/>
    <d v="2022-08-03T00:00:00"/>
    <d v="2022-08-23T00:00:00"/>
    <x v="10"/>
    <n v="9"/>
    <n v="6"/>
    <n v="7.2418230508197396"/>
    <n v="4.7305566459474955"/>
    <n v="28.383339875684975"/>
    <n v="43.450938304918438"/>
    <n v="-15.067598429233463"/>
    <n v="-0.82276820860479183"/>
    <n v="-15.890366637838255"/>
    <n v="0"/>
    <n v="0"/>
    <n v="0"/>
    <n v="-15.890366637838255"/>
  </r>
  <r>
    <x v="7"/>
    <d v="2022-09-05T00:00:00"/>
    <d v="2022-09-23T00:00:00"/>
    <x v="10"/>
    <n v="9"/>
    <n v="6"/>
    <n v="7.2418230508197396"/>
    <n v="4.7305566459474955"/>
    <n v="28.383339875684975"/>
    <n v="43.450938304918438"/>
    <n v="-15.067598429233463"/>
    <n v="-0.82276820860479183"/>
    <n v="-15.890366637838255"/>
    <n v="0"/>
    <n v="0"/>
    <n v="0"/>
    <n v="-15.890366637838255"/>
  </r>
  <r>
    <x v="8"/>
    <d v="2022-10-05T00:00:00"/>
    <d v="2022-10-25T00:00:00"/>
    <x v="10"/>
    <n v="9"/>
    <n v="3"/>
    <n v="7.2418230508197396"/>
    <n v="4.7305566459474955"/>
    <n v="14.191669937842487"/>
    <n v="21.725469152459219"/>
    <n v="-7.5337992146167316"/>
    <n v="-0.41138410430239591"/>
    <n v="-7.9451833189191277"/>
    <n v="0"/>
    <n v="0"/>
    <n v="0"/>
    <n v="-7.9451833189191277"/>
  </r>
  <r>
    <x v="9"/>
    <d v="2022-11-03T00:00:00"/>
    <d v="2022-11-23T00:00:00"/>
    <x v="10"/>
    <n v="9"/>
    <n v="2"/>
    <n v="7.2418230508197396"/>
    <n v="4.7305566459474955"/>
    <n v="9.461113291894991"/>
    <n v="14.483646101639479"/>
    <n v="-5.0225328097444883"/>
    <n v="-0.27425606953493065"/>
    <n v="-5.2967888792794193"/>
    <n v="0"/>
    <n v="0"/>
    <n v="0"/>
    <n v="-5.2967888792794193"/>
  </r>
  <r>
    <x v="10"/>
    <d v="2022-12-05T00:00:00"/>
    <d v="2022-12-23T00:00:00"/>
    <x v="10"/>
    <n v="9"/>
    <n v="1"/>
    <n v="7.2418230508197396"/>
    <n v="4.7305566459474955"/>
    <n v="4.7305566459474955"/>
    <n v="7.2418230508197396"/>
    <n v="-2.5112664048722442"/>
    <n v="-0.13712803476746532"/>
    <n v="-2.6483944396397097"/>
    <n v="0"/>
    <n v="0"/>
    <n v="0"/>
    <n v="-2.6483944396397097"/>
  </r>
  <r>
    <x v="11"/>
    <d v="2023-01-04T00:00:00"/>
    <d v="2023-01-24T00:00:00"/>
    <x v="10"/>
    <n v="9"/>
    <n v="4"/>
    <n v="7.2418230508197396"/>
    <n v="4.7305566459474955"/>
    <n v="18.922226583789982"/>
    <n v="28.967292203278959"/>
    <n v="-10.045065619488977"/>
    <n v="-0.54851213906986129"/>
    <n v="-10.593577758558839"/>
    <n v="0"/>
    <n v="0"/>
    <n v="0"/>
    <n v="-10.593577758558839"/>
  </r>
  <r>
    <x v="0"/>
    <d v="2022-02-03T00:00:00"/>
    <d v="2022-02-23T00:00:00"/>
    <x v="11"/>
    <n v="9"/>
    <n v="121"/>
    <n v="7.2418230508197396"/>
    <n v="4.7305566459474955"/>
    <n v="572.39735415964697"/>
    <n v="876.26058914918849"/>
    <n v="-303.86323498954152"/>
    <n v="-16.592492206863302"/>
    <n v="-320.45572719640484"/>
    <n v="0"/>
    <n v="0"/>
    <n v="0"/>
    <n v="-320.45572719640484"/>
  </r>
  <r>
    <x v="1"/>
    <d v="2022-03-03T00:00:00"/>
    <d v="2022-03-22T00:00:00"/>
    <x v="11"/>
    <n v="9"/>
    <n v="109"/>
    <n v="7.2418230508197396"/>
    <n v="4.7305566459474955"/>
    <n v="515.63067440827706"/>
    <n v="789.35871253935159"/>
    <n v="-273.72803813107453"/>
    <n v="-14.946955789653719"/>
    <n v="-288.67499392072824"/>
    <n v="0"/>
    <n v="0"/>
    <n v="0"/>
    <n v="-288.67499392072824"/>
  </r>
  <r>
    <x v="2"/>
    <d v="2022-04-05T00:00:00"/>
    <d v="2022-04-25T00:00:00"/>
    <x v="11"/>
    <n v="9"/>
    <n v="95"/>
    <n v="7.2418230508197396"/>
    <n v="4.7305566459474955"/>
    <n v="449.40288136501209"/>
    <n v="687.97318982787522"/>
    <n v="-238.57030846286312"/>
    <n v="-13.027163302909205"/>
    <n v="-251.59747176577233"/>
    <n v="0"/>
    <n v="0"/>
    <n v="0"/>
    <n v="-251.59747176577233"/>
  </r>
  <r>
    <x v="3"/>
    <d v="2022-05-04T00:00:00"/>
    <d v="2022-05-24T00:00:00"/>
    <x v="11"/>
    <n v="9"/>
    <n v="93"/>
    <n v="7.2418230508197396"/>
    <n v="4.7305566459474955"/>
    <n v="439.94176807311709"/>
    <n v="673.48954372623575"/>
    <n v="-233.54777565311866"/>
    <n v="-12.752907233374273"/>
    <n v="-246.30068288649295"/>
    <n v="0"/>
    <n v="0"/>
    <n v="0"/>
    <n v="-246.30068288649295"/>
  </r>
  <r>
    <x v="4"/>
    <d v="2022-06-03T00:00:00"/>
    <d v="2022-06-23T00:00:00"/>
    <x v="11"/>
    <n v="9"/>
    <n v="125"/>
    <n v="7.2418230508197396"/>
    <n v="4.7305566459474955"/>
    <n v="591.31958074343697"/>
    <n v="905.22788135246742"/>
    <n v="-313.90830060903045"/>
    <n v="-17.141004345933162"/>
    <n v="-331.04930495496359"/>
    <n v="0"/>
    <n v="0"/>
    <n v="0"/>
    <n v="-331.04930495496359"/>
  </r>
  <r>
    <x v="5"/>
    <d v="2022-07-05T00:00:00"/>
    <d v="2022-07-25T00:00:00"/>
    <x v="11"/>
    <n v="9"/>
    <n v="159"/>
    <n v="7.2418230508197396"/>
    <n v="4.7305566459474955"/>
    <n v="752.1585067056518"/>
    <n v="1151.4498650803387"/>
    <n v="-399.29135837468687"/>
    <n v="-21.803357528026986"/>
    <n v="-421.09471590271386"/>
    <n v="0"/>
    <n v="0"/>
    <n v="0"/>
    <n v="-421.09471590271386"/>
  </r>
  <r>
    <x v="6"/>
    <d v="2022-08-03T00:00:00"/>
    <d v="2022-08-23T00:00:00"/>
    <x v="11"/>
    <n v="9"/>
    <n v="176"/>
    <n v="7.2418230508197396"/>
    <n v="4.7305566459474955"/>
    <n v="832.57796968675916"/>
    <n v="1274.5608569442743"/>
    <n v="-441.98288725751513"/>
    <n v="-24.134534119073894"/>
    <n v="-466.11742137658905"/>
    <n v="0"/>
    <n v="0"/>
    <n v="0"/>
    <n v="-466.11742137658905"/>
  </r>
  <r>
    <x v="7"/>
    <d v="2022-09-05T00:00:00"/>
    <d v="2022-09-23T00:00:00"/>
    <x v="11"/>
    <n v="9"/>
    <n v="167"/>
    <n v="7.2418230508197396"/>
    <n v="4.7305566459474955"/>
    <n v="790.0029598732317"/>
    <n v="1209.3844494868965"/>
    <n v="-419.38148961366483"/>
    <n v="-22.90038180616671"/>
    <n v="-442.28187141983153"/>
    <n v="0"/>
    <n v="0"/>
    <n v="0"/>
    <n v="-442.28187141983153"/>
  </r>
  <r>
    <x v="8"/>
    <d v="2022-10-05T00:00:00"/>
    <d v="2022-10-25T00:00:00"/>
    <x v="11"/>
    <n v="9"/>
    <n v="153"/>
    <n v="7.2418230508197396"/>
    <n v="4.7305566459474955"/>
    <n v="723.77516682996679"/>
    <n v="1107.9989267754202"/>
    <n v="-384.22375994545337"/>
    <n v="-20.980589319422194"/>
    <n v="-405.20434926487553"/>
    <n v="0"/>
    <n v="0"/>
    <n v="0"/>
    <n v="-405.20434926487553"/>
  </r>
  <r>
    <x v="9"/>
    <d v="2022-11-03T00:00:00"/>
    <d v="2022-11-23T00:00:00"/>
    <x v="11"/>
    <n v="9"/>
    <n v="104"/>
    <n v="7.2418230508197396"/>
    <n v="4.7305566459474955"/>
    <n v="491.97789117853955"/>
    <n v="753.14959728525287"/>
    <n v="-261.17170610671332"/>
    <n v="-14.261315615816391"/>
    <n v="-275.4330217225297"/>
    <n v="0"/>
    <n v="0"/>
    <n v="0"/>
    <n v="-275.4330217225297"/>
  </r>
  <r>
    <x v="10"/>
    <d v="2022-12-05T00:00:00"/>
    <d v="2022-12-23T00:00:00"/>
    <x v="11"/>
    <n v="9"/>
    <n v="104"/>
    <n v="7.2418230508197396"/>
    <n v="4.7305566459474955"/>
    <n v="491.97789117853955"/>
    <n v="753.14959728525287"/>
    <n v="-261.17170610671332"/>
    <n v="-14.261315615816391"/>
    <n v="-275.4330217225297"/>
    <n v="0"/>
    <n v="0"/>
    <n v="0"/>
    <n v="-275.4330217225297"/>
  </r>
  <r>
    <x v="11"/>
    <d v="2023-01-04T00:00:00"/>
    <d v="2023-01-24T00:00:00"/>
    <x v="11"/>
    <n v="9"/>
    <n v="139"/>
    <n v="7.2418230508197396"/>
    <n v="4.7305566459474955"/>
    <n v="657.54737378670188"/>
    <n v="1006.6134040639438"/>
    <n v="-349.06603027724191"/>
    <n v="-19.060796832677678"/>
    <n v="-368.12682710991959"/>
    <n v="0"/>
    <n v="0"/>
    <n v="0"/>
    <n v="-368.12682710991959"/>
  </r>
  <r>
    <x v="0"/>
    <d v="2022-02-03T00:00:00"/>
    <d v="2022-02-23T00:00:00"/>
    <x v="12"/>
    <n v="9"/>
    <n v="8"/>
    <n v="7.2418230508197396"/>
    <n v="4.7305566459474955"/>
    <n v="37.844453167579964"/>
    <n v="57.934584406557917"/>
    <n v="-20.090131238977953"/>
    <n v="-1.0970242781397226"/>
    <n v="-21.187155517117677"/>
    <n v="0"/>
    <n v="0"/>
    <n v="0"/>
    <n v="-21.187155517117677"/>
  </r>
  <r>
    <x v="1"/>
    <d v="2022-03-03T00:00:00"/>
    <d v="2022-03-22T00:00:00"/>
    <x v="12"/>
    <n v="9"/>
    <n v="11"/>
    <n v="7.2418230508197396"/>
    <n v="4.7305566459474955"/>
    <n v="52.036123105422448"/>
    <n v="79.660053559017143"/>
    <n v="-27.623930453594696"/>
    <n v="-1.5084083824421184"/>
    <n v="-29.132338836036816"/>
    <n v="0"/>
    <n v="0"/>
    <n v="0"/>
    <n v="-29.132338836036816"/>
  </r>
  <r>
    <x v="2"/>
    <d v="2022-04-05T00:00:00"/>
    <d v="2022-04-25T00:00:00"/>
    <x v="12"/>
    <n v="9"/>
    <n v="9"/>
    <n v="7.2418230508197396"/>
    <n v="4.7305566459474955"/>
    <n v="42.575009813527458"/>
    <n v="65.17640745737765"/>
    <n v="-22.601397643850191"/>
    <n v="-1.2341523129071879"/>
    <n v="-23.835549956757379"/>
    <n v="0"/>
    <n v="0"/>
    <n v="0"/>
    <n v="-23.835549956757379"/>
  </r>
  <r>
    <x v="3"/>
    <d v="2022-05-04T00:00:00"/>
    <d v="2022-05-24T00:00:00"/>
    <x v="12"/>
    <n v="9"/>
    <n v="11"/>
    <n v="7.2418230508197396"/>
    <n v="4.7305566459474955"/>
    <n v="52.036123105422448"/>
    <n v="79.660053559017143"/>
    <n v="-27.623930453594696"/>
    <n v="-1.5084083824421184"/>
    <n v="-29.132338836036816"/>
    <n v="0"/>
    <n v="0"/>
    <n v="0"/>
    <n v="-29.132338836036816"/>
  </r>
  <r>
    <x v="4"/>
    <d v="2022-06-03T00:00:00"/>
    <d v="2022-06-23T00:00:00"/>
    <x v="12"/>
    <n v="9"/>
    <n v="11"/>
    <n v="7.2418230508197396"/>
    <n v="4.7305566459474955"/>
    <n v="52.036123105422448"/>
    <n v="79.660053559017143"/>
    <n v="-27.623930453594696"/>
    <n v="-1.5084083824421184"/>
    <n v="-29.132338836036816"/>
    <n v="0"/>
    <n v="0"/>
    <n v="0"/>
    <n v="-29.132338836036816"/>
  </r>
  <r>
    <x v="5"/>
    <d v="2022-07-05T00:00:00"/>
    <d v="2022-07-25T00:00:00"/>
    <x v="12"/>
    <n v="9"/>
    <n v="14"/>
    <n v="7.2418230508197396"/>
    <n v="4.7305566459474955"/>
    <n v="66.227793043264938"/>
    <n v="101.38552271147636"/>
    <n v="-35.157729668211417"/>
    <n v="-1.9197924867445142"/>
    <n v="-37.077522154955929"/>
    <n v="0"/>
    <n v="0"/>
    <n v="0"/>
    <n v="-37.077522154955929"/>
  </r>
  <r>
    <x v="6"/>
    <d v="2022-08-03T00:00:00"/>
    <d v="2022-08-23T00:00:00"/>
    <x v="12"/>
    <n v="9"/>
    <n v="13"/>
    <n v="7.2418230508197396"/>
    <n v="4.7305566459474955"/>
    <n v="61.497236397317444"/>
    <n v="94.143699660656608"/>
    <n v="-32.646463263339164"/>
    <n v="-1.7826644519770489"/>
    <n v="-34.429127715316213"/>
    <n v="0"/>
    <n v="0"/>
    <n v="0"/>
    <n v="-34.429127715316213"/>
  </r>
  <r>
    <x v="7"/>
    <d v="2022-09-05T00:00:00"/>
    <d v="2022-09-23T00:00:00"/>
    <x v="12"/>
    <n v="9"/>
    <n v="13"/>
    <n v="7.2418230508197396"/>
    <n v="4.7305566459474955"/>
    <n v="61.497236397317444"/>
    <n v="94.143699660656608"/>
    <n v="-32.646463263339164"/>
    <n v="-1.7826644519770489"/>
    <n v="-34.429127715316213"/>
    <n v="0"/>
    <n v="0"/>
    <n v="0"/>
    <n v="-34.429127715316213"/>
  </r>
  <r>
    <x v="8"/>
    <d v="2022-10-05T00:00:00"/>
    <d v="2022-10-25T00:00:00"/>
    <x v="12"/>
    <n v="9"/>
    <n v="13"/>
    <n v="7.2418230508197396"/>
    <n v="4.7305566459474955"/>
    <n v="61.497236397317444"/>
    <n v="94.143699660656608"/>
    <n v="-32.646463263339164"/>
    <n v="-1.7826644519770489"/>
    <n v="-34.429127715316213"/>
    <n v="0"/>
    <n v="0"/>
    <n v="0"/>
    <n v="-34.429127715316213"/>
  </r>
  <r>
    <x v="9"/>
    <d v="2022-11-03T00:00:00"/>
    <d v="2022-11-23T00:00:00"/>
    <x v="12"/>
    <n v="9"/>
    <n v="10"/>
    <n v="7.2418230508197396"/>
    <n v="4.7305566459474955"/>
    <n v="47.305566459474953"/>
    <n v="72.418230508197396"/>
    <n v="-25.112664048722444"/>
    <n v="-1.3712803476746531"/>
    <n v="-26.483944396397096"/>
    <n v="0"/>
    <n v="0"/>
    <n v="0"/>
    <n v="-26.483944396397096"/>
  </r>
  <r>
    <x v="10"/>
    <d v="2022-12-05T00:00:00"/>
    <d v="2022-12-23T00:00:00"/>
    <x v="12"/>
    <n v="9"/>
    <n v="9"/>
    <n v="7.2418230508197396"/>
    <n v="4.7305566459474955"/>
    <n v="42.575009813527458"/>
    <n v="65.17640745737765"/>
    <n v="-22.601397643850191"/>
    <n v="-1.2341523129071879"/>
    <n v="-23.835549956757379"/>
    <n v="0"/>
    <n v="0"/>
    <n v="0"/>
    <n v="-23.835549956757379"/>
  </r>
  <r>
    <x v="11"/>
    <d v="2023-01-04T00:00:00"/>
    <d v="2023-01-24T00:00:00"/>
    <x v="12"/>
    <n v="9"/>
    <n v="9"/>
    <n v="7.2418230508197396"/>
    <n v="4.7305566459474955"/>
    <n v="42.575009813527458"/>
    <n v="65.17640745737765"/>
    <n v="-22.601397643850191"/>
    <n v="-1.2341523129071879"/>
    <n v="-23.835549956757379"/>
    <n v="0"/>
    <n v="0"/>
    <n v="0"/>
    <n v="-23.835549956757379"/>
  </r>
  <r>
    <x v="0"/>
    <d v="2022-02-03T00:00:00"/>
    <d v="2022-02-23T00:00:00"/>
    <x v="13"/>
    <n v="9"/>
    <n v="22"/>
    <n v="7.2418230508197396"/>
    <n v="4.7305566459474955"/>
    <n v="104.0722462108449"/>
    <n v="159.32010711803429"/>
    <n v="-55.247860907189391"/>
    <n v="-3.0168167648842368"/>
    <n v="-58.264677672073631"/>
    <n v="0"/>
    <n v="0"/>
    <n v="0"/>
    <n v="-58.264677672073631"/>
  </r>
  <r>
    <x v="1"/>
    <d v="2022-03-03T00:00:00"/>
    <d v="2022-03-22T00:00:00"/>
    <x v="13"/>
    <n v="9"/>
    <n v="22"/>
    <n v="7.2418230508197396"/>
    <n v="4.7305566459474955"/>
    <n v="104.0722462108449"/>
    <n v="159.32010711803429"/>
    <n v="-55.247860907189391"/>
    <n v="-3.0168167648842368"/>
    <n v="-58.264677672073631"/>
    <n v="0"/>
    <n v="0"/>
    <n v="0"/>
    <n v="-58.264677672073631"/>
  </r>
  <r>
    <x v="2"/>
    <d v="2022-04-05T00:00:00"/>
    <d v="2022-04-25T00:00:00"/>
    <x v="13"/>
    <n v="9"/>
    <n v="18"/>
    <n v="7.2418230508197396"/>
    <n v="4.7305566459474955"/>
    <n v="85.150019627054917"/>
    <n v="130.3528149147553"/>
    <n v="-45.202795287700383"/>
    <n v="-2.4683046258143757"/>
    <n v="-47.671099913514759"/>
    <n v="0"/>
    <n v="0"/>
    <n v="0"/>
    <n v="-47.671099913514759"/>
  </r>
  <r>
    <x v="3"/>
    <d v="2022-05-04T00:00:00"/>
    <d v="2022-05-24T00:00:00"/>
    <x v="13"/>
    <n v="9"/>
    <n v="21"/>
    <n v="7.2418230508197396"/>
    <n v="4.7305566459474955"/>
    <n v="99.341689564897408"/>
    <n v="152.07828406721453"/>
    <n v="-52.736594502317118"/>
    <n v="-2.8796887301167717"/>
    <n v="-55.616283232433886"/>
    <n v="0"/>
    <n v="0"/>
    <n v="0"/>
    <n v="-55.616283232433886"/>
  </r>
  <r>
    <x v="4"/>
    <d v="2022-06-03T00:00:00"/>
    <d v="2022-06-23T00:00:00"/>
    <x v="13"/>
    <n v="9"/>
    <n v="31"/>
    <n v="7.2418230508197396"/>
    <n v="4.7305566459474955"/>
    <n v="146.64725602437235"/>
    <n v="224.49651457541194"/>
    <n v="-77.849258551039583"/>
    <n v="-4.2509690777914244"/>
    <n v="-82.100227628831007"/>
    <n v="0"/>
    <n v="0"/>
    <n v="0"/>
    <n v="-82.100227628831007"/>
  </r>
  <r>
    <x v="5"/>
    <d v="2022-07-05T00:00:00"/>
    <d v="2022-07-25T00:00:00"/>
    <x v="13"/>
    <n v="9"/>
    <n v="38"/>
    <n v="7.2418230508197396"/>
    <n v="4.7305566459474955"/>
    <n v="179.76115254600484"/>
    <n v="275.18927593115012"/>
    <n v="-95.428123385145284"/>
    <n v="-5.2108653211636824"/>
    <n v="-100.63898870630896"/>
    <n v="0"/>
    <n v="0"/>
    <n v="0"/>
    <n v="-100.63898870630896"/>
  </r>
  <r>
    <x v="6"/>
    <d v="2022-08-03T00:00:00"/>
    <d v="2022-08-23T00:00:00"/>
    <x v="13"/>
    <n v="9"/>
    <n v="40"/>
    <n v="7.2418230508197396"/>
    <n v="4.7305566459474955"/>
    <n v="189.22226583789981"/>
    <n v="289.67292203278959"/>
    <n v="-100.45065619488977"/>
    <n v="-5.4851213906986125"/>
    <n v="-105.93577758558838"/>
    <n v="0"/>
    <n v="0"/>
    <n v="0"/>
    <n v="-105.93577758558838"/>
  </r>
  <r>
    <x v="7"/>
    <d v="2022-09-05T00:00:00"/>
    <d v="2022-09-23T00:00:00"/>
    <x v="13"/>
    <n v="9"/>
    <n v="38"/>
    <n v="7.2418230508197396"/>
    <n v="4.7305566459474955"/>
    <n v="179.76115254600484"/>
    <n v="275.18927593115012"/>
    <n v="-95.428123385145284"/>
    <n v="-5.2108653211636824"/>
    <n v="-100.63898870630896"/>
    <n v="0"/>
    <n v="0"/>
    <n v="0"/>
    <n v="-100.63898870630896"/>
  </r>
  <r>
    <x v="8"/>
    <d v="2022-10-05T00:00:00"/>
    <d v="2022-10-25T00:00:00"/>
    <x v="13"/>
    <n v="9"/>
    <n v="35"/>
    <n v="7.2418230508197396"/>
    <n v="4.7305566459474955"/>
    <n v="165.56948260816233"/>
    <n v="253.46380677869089"/>
    <n v="-87.894324170528563"/>
    <n v="-4.7994812168612855"/>
    <n v="-92.693805387389844"/>
    <n v="0"/>
    <n v="0"/>
    <n v="0"/>
    <n v="-92.693805387389844"/>
  </r>
  <r>
    <x v="9"/>
    <d v="2022-11-03T00:00:00"/>
    <d v="2022-11-23T00:00:00"/>
    <x v="13"/>
    <n v="9"/>
    <n v="23"/>
    <n v="7.2418230508197396"/>
    <n v="4.7305566459474955"/>
    <n v="108.8028028567924"/>
    <n v="166.56193016885402"/>
    <n v="-57.759127312061622"/>
    <n v="-3.1539447996517023"/>
    <n v="-60.913072111713326"/>
    <n v="0"/>
    <n v="0"/>
    <n v="0"/>
    <n v="-60.913072111713326"/>
  </r>
  <r>
    <x v="10"/>
    <d v="2022-12-05T00:00:00"/>
    <d v="2022-12-23T00:00:00"/>
    <x v="13"/>
    <n v="9"/>
    <n v="18"/>
    <n v="7.2418230508197396"/>
    <n v="4.7305566459474955"/>
    <n v="85.150019627054917"/>
    <n v="130.3528149147553"/>
    <n v="-45.202795287700383"/>
    <n v="-2.4683046258143757"/>
    <n v="-47.671099913514759"/>
    <n v="0"/>
    <n v="0"/>
    <n v="0"/>
    <n v="-47.671099913514759"/>
  </r>
  <r>
    <x v="11"/>
    <d v="2023-01-04T00:00:00"/>
    <d v="2023-01-24T00:00:00"/>
    <x v="13"/>
    <n v="9"/>
    <n v="27"/>
    <n v="7.2418230508197396"/>
    <n v="4.7305566459474955"/>
    <n v="127.72502944058238"/>
    <n v="195.52922237213298"/>
    <n v="-67.804192931550602"/>
    <n v="-3.7024569387215638"/>
    <n v="-71.50664987027217"/>
    <n v="0"/>
    <n v="0"/>
    <n v="0"/>
    <n v="-71.50664987027217"/>
  </r>
  <r>
    <x v="0"/>
    <d v="2022-02-03T00:00:00"/>
    <d v="2022-02-23T00:00:00"/>
    <x v="14"/>
    <n v="9"/>
    <n v="37"/>
    <n v="7.2418230508197396"/>
    <n v="4.7305566459474955"/>
    <n v="175.03059590005734"/>
    <n v="267.94745288033039"/>
    <n v="-92.916856980273053"/>
    <n v="-5.0737372863962165"/>
    <n v="-97.990594266669262"/>
    <n v="0"/>
    <n v="0"/>
    <n v="0"/>
    <n v="-97.990594266669262"/>
  </r>
  <r>
    <x v="1"/>
    <d v="2022-03-03T00:00:00"/>
    <d v="2022-03-22T00:00:00"/>
    <x v="14"/>
    <n v="9"/>
    <n v="37"/>
    <n v="7.2418230508197396"/>
    <n v="4.7305566459474955"/>
    <n v="175.03059590005734"/>
    <n v="267.94745288033039"/>
    <n v="-92.916856980273053"/>
    <n v="-5.0737372863962165"/>
    <n v="-97.990594266669262"/>
    <n v="0"/>
    <n v="0"/>
    <n v="0"/>
    <n v="-97.990594266669262"/>
  </r>
  <r>
    <x v="2"/>
    <d v="2022-04-05T00:00:00"/>
    <d v="2022-04-25T00:00:00"/>
    <x v="14"/>
    <n v="9"/>
    <n v="25"/>
    <n v="7.2418230508197396"/>
    <n v="4.7305566459474955"/>
    <n v="118.26391614868739"/>
    <n v="181.04557627049348"/>
    <n v="-62.781660121806098"/>
    <n v="-3.4282008691866328"/>
    <n v="-66.209860990992738"/>
    <n v="0"/>
    <n v="0"/>
    <n v="0"/>
    <n v="-66.209860990992738"/>
  </r>
  <r>
    <x v="3"/>
    <d v="2022-05-04T00:00:00"/>
    <d v="2022-05-24T00:00:00"/>
    <x v="14"/>
    <n v="9"/>
    <n v="31"/>
    <n v="7.2418230508197396"/>
    <n v="4.7305566459474955"/>
    <n v="146.64725602437235"/>
    <n v="224.49651457541194"/>
    <n v="-77.849258551039583"/>
    <n v="-4.2509690777914244"/>
    <n v="-82.100227628831007"/>
    <n v="0"/>
    <n v="0"/>
    <n v="0"/>
    <n v="-82.100227628831007"/>
  </r>
  <r>
    <x v="4"/>
    <d v="2022-06-03T00:00:00"/>
    <d v="2022-06-23T00:00:00"/>
    <x v="14"/>
    <n v="9"/>
    <n v="40"/>
    <n v="7.2418230508197396"/>
    <n v="4.7305566459474955"/>
    <n v="189.22226583789981"/>
    <n v="289.67292203278959"/>
    <n v="-100.45065619488977"/>
    <n v="-5.4851213906986125"/>
    <n v="-105.93577758558838"/>
    <n v="0"/>
    <n v="0"/>
    <n v="0"/>
    <n v="-105.93577758558838"/>
  </r>
  <r>
    <x v="5"/>
    <d v="2022-07-05T00:00:00"/>
    <d v="2022-07-25T00:00:00"/>
    <x v="14"/>
    <n v="9"/>
    <n v="48"/>
    <n v="7.2418230508197396"/>
    <n v="4.7305566459474955"/>
    <n v="227.0667190054798"/>
    <n v="347.6075064393475"/>
    <n v="-120.54078743386771"/>
    <n v="-6.5821456688383346"/>
    <n v="-127.12293310270604"/>
    <n v="0"/>
    <n v="0"/>
    <n v="0"/>
    <n v="-127.12293310270604"/>
  </r>
  <r>
    <x v="6"/>
    <d v="2022-08-03T00:00:00"/>
    <d v="2022-08-23T00:00:00"/>
    <x v="14"/>
    <n v="9"/>
    <n v="52"/>
    <n v="7.2418230508197396"/>
    <n v="4.7305566459474955"/>
    <n v="245.98894558926978"/>
    <n v="376.57479864262643"/>
    <n v="-130.58585305335666"/>
    <n v="-7.1306578079081957"/>
    <n v="-137.71651086126485"/>
    <n v="0"/>
    <n v="0"/>
    <n v="0"/>
    <n v="-137.71651086126485"/>
  </r>
  <r>
    <x v="7"/>
    <d v="2022-09-05T00:00:00"/>
    <d v="2022-09-23T00:00:00"/>
    <x v="14"/>
    <n v="9"/>
    <n v="50"/>
    <n v="7.2418230508197396"/>
    <n v="4.7305566459474955"/>
    <n v="236.52783229737477"/>
    <n v="362.09115254098697"/>
    <n v="-125.5633202436122"/>
    <n v="-6.8564017383732656"/>
    <n v="-132.41972198198548"/>
    <n v="0"/>
    <n v="0"/>
    <n v="0"/>
    <n v="-132.41972198198548"/>
  </r>
  <r>
    <x v="8"/>
    <d v="2022-10-05T00:00:00"/>
    <d v="2022-10-25T00:00:00"/>
    <x v="14"/>
    <n v="9"/>
    <n v="47"/>
    <n v="7.2418230508197396"/>
    <n v="4.7305566459474955"/>
    <n v="222.3361623595323"/>
    <n v="340.36568338852777"/>
    <n v="-118.02952102899548"/>
    <n v="-6.4450176340708696"/>
    <n v="-124.47453866306634"/>
    <n v="0"/>
    <n v="0"/>
    <n v="0"/>
    <n v="-124.47453866306634"/>
  </r>
  <r>
    <x v="9"/>
    <d v="2022-11-03T00:00:00"/>
    <d v="2022-11-23T00:00:00"/>
    <x v="14"/>
    <n v="9"/>
    <n v="35"/>
    <n v="7.2418230508197396"/>
    <n v="4.7305566459474955"/>
    <n v="165.56948260816233"/>
    <n v="253.46380677869089"/>
    <n v="-87.894324170528563"/>
    <n v="-4.7994812168612855"/>
    <n v="-92.693805387389844"/>
    <n v="0"/>
    <n v="0"/>
    <n v="0"/>
    <n v="-92.693805387389844"/>
  </r>
  <r>
    <x v="10"/>
    <d v="2022-12-05T00:00:00"/>
    <d v="2022-12-23T00:00:00"/>
    <x v="14"/>
    <n v="9"/>
    <n v="34"/>
    <n v="7.2418230508197396"/>
    <n v="4.7305566459474955"/>
    <n v="160.83892596221486"/>
    <n v="246.22198372787113"/>
    <n v="-85.383057765656275"/>
    <n v="-4.6623531820938213"/>
    <n v="-90.045410947750099"/>
    <n v="0"/>
    <n v="0"/>
    <n v="0"/>
    <n v="-90.045410947750099"/>
  </r>
  <r>
    <x v="11"/>
    <d v="2023-01-04T00:00:00"/>
    <d v="2023-01-24T00:00:00"/>
    <x v="14"/>
    <n v="9"/>
    <n v="34"/>
    <n v="7.2418230508197396"/>
    <n v="4.7305566459474955"/>
    <n v="160.83892596221486"/>
    <n v="246.22198372787113"/>
    <n v="-85.383057765656275"/>
    <n v="-4.6623531820938213"/>
    <n v="-90.045410947750099"/>
    <n v="0"/>
    <n v="0"/>
    <n v="0"/>
    <n v="-90.045410947750099"/>
  </r>
  <r>
    <x v="0"/>
    <d v="2022-02-03T00:00:00"/>
    <d v="2022-02-23T00:00:00"/>
    <x v="15"/>
    <n v="9"/>
    <n v="106"/>
    <n v="7.2418230508197396"/>
    <n v="4.7305566459474955"/>
    <n v="501.4390044704345"/>
    <n v="767.63324338689245"/>
    <n v="-266.19423891645795"/>
    <n v="-14.535571685351323"/>
    <n v="-280.72981060180928"/>
    <n v="0"/>
    <n v="0"/>
    <n v="0"/>
    <n v="-280.72981060180928"/>
  </r>
  <r>
    <x v="1"/>
    <d v="2022-03-03T00:00:00"/>
    <d v="2022-03-22T00:00:00"/>
    <x v="15"/>
    <n v="9"/>
    <n v="101"/>
    <n v="7.2418230508197396"/>
    <n v="4.7305566459474955"/>
    <n v="477.78622124069705"/>
    <n v="731.42412813279373"/>
    <n v="-253.63790689209668"/>
    <n v="-13.849931511513995"/>
    <n v="-267.48783840361068"/>
    <n v="0"/>
    <n v="0"/>
    <n v="0"/>
    <n v="-267.48783840361068"/>
  </r>
  <r>
    <x v="2"/>
    <d v="2022-04-05T00:00:00"/>
    <d v="2022-04-25T00:00:00"/>
    <x v="15"/>
    <n v="9"/>
    <n v="97"/>
    <n v="7.2418230508197396"/>
    <n v="4.7305566459474955"/>
    <n v="458.86399465690704"/>
    <n v="702.4568359295148"/>
    <n v="-243.59284127260776"/>
    <n v="-13.301419372444135"/>
    <n v="-256.89426064505187"/>
    <n v="0"/>
    <n v="0"/>
    <n v="0"/>
    <n v="-256.89426064505187"/>
  </r>
  <r>
    <x v="3"/>
    <d v="2022-05-04T00:00:00"/>
    <d v="2022-05-24T00:00:00"/>
    <x v="15"/>
    <n v="9"/>
    <n v="98"/>
    <n v="7.2418230508197396"/>
    <n v="4.7305566459474955"/>
    <n v="463.59455130285454"/>
    <n v="709.69865898033447"/>
    <n v="-246.10410767747993"/>
    <n v="-13.438547407211601"/>
    <n v="-259.54265508469155"/>
    <n v="0"/>
    <n v="0"/>
    <n v="0"/>
    <n v="-259.54265508469155"/>
  </r>
  <r>
    <x v="4"/>
    <d v="2022-06-03T00:00:00"/>
    <d v="2022-06-23T00:00:00"/>
    <x v="15"/>
    <n v="9"/>
    <n v="104"/>
    <n v="7.2418230508197396"/>
    <n v="4.7305566459474955"/>
    <n v="491.97789117853955"/>
    <n v="753.14959728525287"/>
    <n v="-261.17170610671332"/>
    <n v="-14.261315615816391"/>
    <n v="-275.4330217225297"/>
    <n v="0"/>
    <n v="0"/>
    <n v="0"/>
    <n v="-275.4330217225297"/>
  </r>
  <r>
    <x v="5"/>
    <d v="2022-07-05T00:00:00"/>
    <d v="2022-07-25T00:00:00"/>
    <x v="15"/>
    <n v="9"/>
    <n v="115"/>
    <n v="7.2418230508197396"/>
    <n v="4.7305566459474955"/>
    <n v="544.01401428396196"/>
    <n v="832.8096508442701"/>
    <n v="-288.79563656030814"/>
    <n v="-15.769723998258513"/>
    <n v="-304.56536055856668"/>
    <n v="0"/>
    <n v="0"/>
    <n v="0"/>
    <n v="-304.56536055856668"/>
  </r>
  <r>
    <x v="6"/>
    <d v="2022-08-03T00:00:00"/>
    <d v="2022-08-23T00:00:00"/>
    <x v="15"/>
    <n v="9"/>
    <n v="42"/>
    <n v="7.2418230508197396"/>
    <n v="4.7305566459474955"/>
    <n v="198.68337912979482"/>
    <n v="304.15656813442905"/>
    <n v="-105.47318900463424"/>
    <n v="-5.7593774602335435"/>
    <n v="-111.23256646486777"/>
    <n v="0"/>
    <n v="0"/>
    <n v="0"/>
    <n v="-111.23256646486777"/>
  </r>
  <r>
    <x v="7"/>
    <d v="2022-09-05T00:00:00"/>
    <d v="2022-09-23T00:00:00"/>
    <x v="15"/>
    <n v="9"/>
    <n v="41"/>
    <n v="7.2418230508197396"/>
    <n v="4.7305566459474955"/>
    <n v="193.95282248384731"/>
    <n v="296.91474508360932"/>
    <n v="-102.961922599762"/>
    <n v="-5.6222494254660775"/>
    <n v="-108.58417202522809"/>
    <n v="0"/>
    <n v="0"/>
    <n v="0"/>
    <n v="-108.58417202522809"/>
  </r>
  <r>
    <x v="8"/>
    <d v="2022-10-05T00:00:00"/>
    <d v="2022-10-25T00:00:00"/>
    <x v="15"/>
    <n v="9"/>
    <n v="115"/>
    <n v="7.2418230508197396"/>
    <n v="4.7305566459474955"/>
    <n v="544.01401428396196"/>
    <n v="832.8096508442701"/>
    <n v="-288.79563656030814"/>
    <n v="-15.769723998258513"/>
    <n v="-304.56536055856668"/>
    <n v="0"/>
    <n v="0"/>
    <n v="0"/>
    <n v="-304.56536055856668"/>
  </r>
  <r>
    <x v="9"/>
    <d v="2022-11-03T00:00:00"/>
    <d v="2022-11-23T00:00:00"/>
    <x v="15"/>
    <n v="9"/>
    <n v="105"/>
    <n v="7.2418230508197396"/>
    <n v="4.7305566459474955"/>
    <n v="496.70844782448705"/>
    <n v="760.39142033607266"/>
    <n v="-263.6829725115856"/>
    <n v="-14.398443650583859"/>
    <n v="-278.08141616216949"/>
    <n v="0"/>
    <n v="0"/>
    <n v="0"/>
    <n v="-278.08141616216949"/>
  </r>
  <r>
    <x v="10"/>
    <d v="2022-12-05T00:00:00"/>
    <d v="2022-12-23T00:00:00"/>
    <x v="15"/>
    <n v="9"/>
    <n v="104"/>
    <n v="7.2418230508197396"/>
    <n v="4.7305566459474955"/>
    <n v="491.97789117853955"/>
    <n v="753.14959728525287"/>
    <n v="-261.17170610671332"/>
    <n v="-14.261315615816391"/>
    <n v="-275.4330217225297"/>
    <n v="0"/>
    <n v="0"/>
    <n v="0"/>
    <n v="-275.4330217225297"/>
  </r>
  <r>
    <x v="11"/>
    <d v="2023-01-04T00:00:00"/>
    <d v="2023-01-24T00:00:00"/>
    <x v="15"/>
    <n v="9"/>
    <n v="104"/>
    <n v="7.2418230508197396"/>
    <n v="4.7305566459474955"/>
    <n v="491.97789117853955"/>
    <n v="753.14959728525287"/>
    <n v="-261.17170610671332"/>
    <n v="-14.261315615816391"/>
    <n v="-275.4330217225297"/>
    <n v="0"/>
    <n v="0"/>
    <n v="0"/>
    <n v="-275.43302172252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dataOnRows="1" applyNumberFormats="0" applyBorderFormats="0" applyFontFormats="0" applyPatternFormats="0" applyAlignmentFormats="0" applyWidthHeightFormats="1" dataCaption="Data" updatedVersion="7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57">
        <item m="1" x="57"/>
        <item m="1" x="81"/>
        <item m="1" x="105"/>
        <item m="1" x="129"/>
        <item m="1" x="153"/>
        <item m="1" x="33"/>
        <item m="1" x="68"/>
        <item m="1" x="92"/>
        <item m="1" x="116"/>
        <item m="1" x="140"/>
        <item m="1" x="20"/>
        <item m="1" x="44"/>
        <item m="1" x="58"/>
        <item m="1" x="82"/>
        <item m="1" x="106"/>
        <item m="1" x="130"/>
        <item m="1" x="154"/>
        <item m="1" x="34"/>
        <item m="1" x="70"/>
        <item m="1" x="94"/>
        <item m="1" x="118"/>
        <item m="1" x="142"/>
        <item m="1" x="22"/>
        <item m="1" x="46"/>
        <item m="1" x="59"/>
        <item m="1" x="83"/>
        <item m="1" x="107"/>
        <item m="1" x="131"/>
        <item m="1" x="155"/>
        <item m="1" x="35"/>
        <item m="1" x="71"/>
        <item m="1" x="95"/>
        <item m="1" x="119"/>
        <item m="1" x="143"/>
        <item m="1" x="23"/>
        <item m="1" x="47"/>
        <item m="1" x="60"/>
        <item m="1" x="84"/>
        <item m="1" x="108"/>
        <item m="1" x="132"/>
        <item m="1" x="12"/>
        <item m="1" x="36"/>
        <item m="1" x="72"/>
        <item m="1" x="96"/>
        <item m="1" x="120"/>
        <item m="1" x="144"/>
        <item m="1" x="24"/>
        <item m="1" x="48"/>
        <item m="1" x="61"/>
        <item m="1" x="85"/>
        <item m="1" x="109"/>
        <item m="1" x="133"/>
        <item m="1" x="13"/>
        <item m="1" x="37"/>
        <item m="1" x="73"/>
        <item m="1" x="97"/>
        <item m="1" x="121"/>
        <item m="1" x="145"/>
        <item m="1" x="25"/>
        <item m="1" x="49"/>
        <item m="1" x="62"/>
        <item m="1" x="86"/>
        <item m="1" x="110"/>
        <item m="1" x="134"/>
        <item m="1" x="14"/>
        <item m="1" x="38"/>
        <item m="1" x="74"/>
        <item m="1" x="98"/>
        <item m="1" x="122"/>
        <item m="1" x="146"/>
        <item m="1" x="26"/>
        <item m="1" x="50"/>
        <item m="1" x="63"/>
        <item m="1" x="87"/>
        <item m="1" x="111"/>
        <item m="1" x="135"/>
        <item m="1" x="15"/>
        <item m="1" x="39"/>
        <item m="1" x="75"/>
        <item m="1" x="99"/>
        <item m="1" x="123"/>
        <item m="1" x="147"/>
        <item m="1" x="27"/>
        <item m="1" x="51"/>
        <item m="1" x="64"/>
        <item m="1" x="88"/>
        <item m="1" x="112"/>
        <item m="1" x="136"/>
        <item m="1" x="16"/>
        <item m="1" x="40"/>
        <item m="1" x="76"/>
        <item m="1" x="100"/>
        <item m="1" x="124"/>
        <item m="1" x="148"/>
        <item m="1" x="28"/>
        <item m="1" x="52"/>
        <item m="1" x="65"/>
        <item m="1" x="89"/>
        <item m="1" x="113"/>
        <item m="1" x="137"/>
        <item m="1" x="17"/>
        <item m="1" x="41"/>
        <item m="1" x="77"/>
        <item m="1" x="101"/>
        <item m="1" x="125"/>
        <item m="1" x="149"/>
        <item m="1" x="29"/>
        <item m="1" x="53"/>
        <item m="1" x="66"/>
        <item m="1" x="90"/>
        <item m="1" x="114"/>
        <item m="1" x="138"/>
        <item m="1" x="18"/>
        <item m="1" x="42"/>
        <item m="1" x="78"/>
        <item m="1" x="102"/>
        <item m="1" x="126"/>
        <item m="1" x="150"/>
        <item m="1" x="30"/>
        <item m="1" x="54"/>
        <item m="1" x="67"/>
        <item m="1" x="91"/>
        <item m="1" x="115"/>
        <item m="1" x="139"/>
        <item m="1" x="19"/>
        <item m="1" x="43"/>
        <item m="1" x="79"/>
        <item m="1" x="103"/>
        <item m="1" x="127"/>
        <item m="1" x="151"/>
        <item m="1" x="31"/>
        <item m="1" x="55"/>
        <item m="1" x="69"/>
        <item m="1" x="93"/>
        <item m="1" x="117"/>
        <item m="1" x="141"/>
        <item m="1" x="21"/>
        <item m="1" x="45"/>
        <item m="1" x="80"/>
        <item m="1" x="104"/>
        <item m="1" x="128"/>
        <item m="1" x="152"/>
        <item m="1" x="32"/>
        <item m="1"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tabSelected="1" workbookViewId="0">
      <selection activeCell="N22" sqref="N22"/>
    </sheetView>
  </sheetViews>
  <sheetFormatPr defaultColWidth="8.7109375" defaultRowHeight="12.75" x14ac:dyDescent="0.2"/>
  <cols>
    <col min="1" max="16384" width="8.7109375" style="1"/>
  </cols>
  <sheetData>
    <row r="1" spans="1:2" x14ac:dyDescent="0.2">
      <c r="A1" s="1" t="s">
        <v>64</v>
      </c>
    </row>
    <row r="3" spans="1:2" x14ac:dyDescent="0.2">
      <c r="A3" s="2">
        <v>1</v>
      </c>
      <c r="B3" s="3" t="s">
        <v>66</v>
      </c>
    </row>
    <row r="4" spans="1:2" x14ac:dyDescent="0.2">
      <c r="A4" s="2">
        <v>2</v>
      </c>
      <c r="B4" s="3" t="s">
        <v>65</v>
      </c>
    </row>
    <row r="5" spans="1:2" x14ac:dyDescent="0.2">
      <c r="A5" s="2">
        <v>3</v>
      </c>
      <c r="B5" s="3" t="s">
        <v>67</v>
      </c>
    </row>
    <row r="6" spans="1:2" x14ac:dyDescent="0.2">
      <c r="A6" s="2">
        <v>4</v>
      </c>
      <c r="B6" s="4" t="s">
        <v>81</v>
      </c>
    </row>
    <row r="7" spans="1:2" x14ac:dyDescent="0.2">
      <c r="A7" s="2">
        <v>5</v>
      </c>
      <c r="B7" s="3" t="s">
        <v>68</v>
      </c>
    </row>
    <row r="8" spans="1:2" x14ac:dyDescent="0.2">
      <c r="A8" s="2">
        <v>6</v>
      </c>
      <c r="B8" s="3" t="s">
        <v>69</v>
      </c>
    </row>
    <row r="9" spans="1:2" x14ac:dyDescent="0.2">
      <c r="A9" s="2">
        <v>7</v>
      </c>
      <c r="B9" s="5" t="s">
        <v>70</v>
      </c>
    </row>
    <row r="10" spans="1:2" x14ac:dyDescent="0.2">
      <c r="A10" s="2">
        <v>8</v>
      </c>
      <c r="B10" s="3" t="s">
        <v>73</v>
      </c>
    </row>
    <row r="11" spans="1:2" x14ac:dyDescent="0.2">
      <c r="A11" s="2"/>
      <c r="B11" s="3" t="s">
        <v>74</v>
      </c>
    </row>
    <row r="12" spans="1:2" x14ac:dyDescent="0.2">
      <c r="A12" s="2"/>
      <c r="B12" s="5" t="s">
        <v>75</v>
      </c>
    </row>
    <row r="13" spans="1:2" x14ac:dyDescent="0.2">
      <c r="A13" s="2"/>
      <c r="B13" s="5" t="s">
        <v>76</v>
      </c>
    </row>
    <row r="14" spans="1:2" x14ac:dyDescent="0.2">
      <c r="A14" s="2">
        <v>9</v>
      </c>
      <c r="B14" s="3" t="s">
        <v>77</v>
      </c>
    </row>
    <row r="15" spans="1:2" x14ac:dyDescent="0.2">
      <c r="A15" s="2">
        <v>10</v>
      </c>
      <c r="B15" s="3" t="s">
        <v>79</v>
      </c>
    </row>
    <row r="16" spans="1:2" x14ac:dyDescent="0.2">
      <c r="A16" s="2">
        <v>11</v>
      </c>
      <c r="B16" s="3" t="s">
        <v>80</v>
      </c>
    </row>
    <row r="17" spans="1:1" x14ac:dyDescent="0.2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4"/>
  <sheetViews>
    <sheetView zoomScale="85" zoomScaleNormal="85" zoomScaleSheetLayoutView="100" workbookViewId="0">
      <selection activeCell="N22" sqref="N22"/>
    </sheetView>
  </sheetViews>
  <sheetFormatPr defaultColWidth="33.28515625" defaultRowHeight="12.75" x14ac:dyDescent="0.2"/>
  <cols>
    <col min="1" max="1" width="9.140625" style="1" customWidth="1"/>
    <col min="2" max="2" width="14" style="1" customWidth="1"/>
    <col min="3" max="3" width="21.85546875" style="1" customWidth="1"/>
    <col min="4" max="4" width="15.5703125" style="1" customWidth="1"/>
    <col min="5" max="16" width="14" style="1" customWidth="1"/>
    <col min="17" max="17" width="15" style="1" customWidth="1"/>
    <col min="18" max="110" width="31.7109375" style="1" customWidth="1"/>
    <col min="111" max="111" width="11.42578125" style="1" customWidth="1"/>
    <col min="112" max="16384" width="33.28515625" style="1"/>
  </cols>
  <sheetData>
    <row r="1" spans="2:19" x14ac:dyDescent="0.2">
      <c r="C1" s="251" t="str">
        <f>+Transactions!B1</f>
        <v>AEPTCo Formula Rate -- FERC Docket ER18-194</v>
      </c>
      <c r="D1" s="251"/>
      <c r="E1" s="251"/>
      <c r="F1" s="251"/>
      <c r="G1" s="251"/>
      <c r="H1" s="251"/>
      <c r="I1" s="251"/>
      <c r="L1" s="6">
        <v>2023</v>
      </c>
    </row>
    <row r="2" spans="2:19" x14ac:dyDescent="0.2">
      <c r="C2" s="251" t="s">
        <v>102</v>
      </c>
      <c r="D2" s="251"/>
      <c r="E2" s="251"/>
      <c r="F2" s="251"/>
      <c r="G2" s="251"/>
      <c r="H2" s="251"/>
      <c r="I2" s="251"/>
    </row>
    <row r="3" spans="2:19" x14ac:dyDescent="0.2">
      <c r="C3" s="251" t="str">
        <f>"for period 01/01/"&amp;F8&amp;" - 12/31/"&amp;F8</f>
        <v>for period 01/01/2022 - 12/31/2022</v>
      </c>
      <c r="D3" s="251"/>
      <c r="E3" s="251"/>
      <c r="F3" s="251"/>
      <c r="G3" s="251"/>
      <c r="H3" s="251"/>
      <c r="I3" s="251"/>
    </row>
    <row r="4" spans="2:19" x14ac:dyDescent="0.2">
      <c r="C4" s="251" t="s">
        <v>84</v>
      </c>
      <c r="D4" s="251"/>
      <c r="E4" s="251"/>
      <c r="F4" s="251"/>
      <c r="G4" s="251"/>
      <c r="H4" s="251"/>
      <c r="I4" s="251"/>
    </row>
    <row r="5" spans="2:19" x14ac:dyDescent="0.2">
      <c r="C5" s="7" t="str">
        <f>"Prepared:  May 24_, "&amp;L1&amp;""</f>
        <v>Prepared:  May 24_, 2023</v>
      </c>
      <c r="D5" s="8"/>
    </row>
    <row r="6" spans="2:19" x14ac:dyDescent="0.2">
      <c r="C6" s="9"/>
    </row>
    <row r="7" spans="2:19" x14ac:dyDescent="0.2">
      <c r="C7" s="10"/>
    </row>
    <row r="8" spans="2:19" ht="27.75" customHeight="1" thickBot="1" x14ac:dyDescent="0.25">
      <c r="F8" s="11">
        <v>2022</v>
      </c>
    </row>
    <row r="9" spans="2:19" ht="20.25" customHeight="1" x14ac:dyDescent="0.2">
      <c r="E9" s="12" t="s">
        <v>96</v>
      </c>
      <c r="F9" s="13"/>
      <c r="G9" s="14"/>
      <c r="H9" s="15"/>
      <c r="L9" s="2"/>
    </row>
    <row r="10" spans="2:19" ht="42" customHeight="1" thickBot="1" x14ac:dyDescent="0.25">
      <c r="B10" s="16"/>
      <c r="E10" s="17" t="str">
        <f>"(per "&amp;$F8&amp;" Projections "&amp;$F8&amp;")"</f>
        <v>(per 2022 Projections 2022)</v>
      </c>
      <c r="F10" s="18" t="str">
        <f>"(per "&amp;F8+1&amp;" Update of May "&amp;F8+1&amp;")"</f>
        <v>(per 2023 Update of May 2023)</v>
      </c>
      <c r="G10" s="19"/>
      <c r="H10" s="20"/>
    </row>
    <row r="11" spans="2:19" ht="21.75" customHeight="1" x14ac:dyDescent="0.2">
      <c r="B11" s="21"/>
      <c r="C11" s="22" t="s">
        <v>38</v>
      </c>
      <c r="D11" s="23" t="s">
        <v>36</v>
      </c>
      <c r="E11" s="24">
        <f>Transactions!K2</f>
        <v>708511</v>
      </c>
      <c r="F11" s="25"/>
      <c r="G11" s="26"/>
      <c r="H11" s="27"/>
    </row>
    <row r="12" spans="2:19" ht="21.75" customHeight="1" x14ac:dyDescent="0.2">
      <c r="B12" s="21"/>
      <c r="C12" s="28"/>
      <c r="D12" s="29" t="s">
        <v>42</v>
      </c>
      <c r="E12" s="30"/>
      <c r="F12" s="31">
        <f>+Transactions!J2</f>
        <v>495175.74747120001</v>
      </c>
      <c r="G12" s="32"/>
      <c r="H12" s="33"/>
      <c r="K12" s="34"/>
    </row>
    <row r="13" spans="2:19" ht="21.75" customHeight="1" x14ac:dyDescent="0.2">
      <c r="B13" s="35"/>
      <c r="C13" s="36" t="s">
        <v>39</v>
      </c>
      <c r="D13" s="37" t="s">
        <v>37</v>
      </c>
      <c r="E13" s="38">
        <f>Transactions!K3</f>
        <v>7.2418230508197396</v>
      </c>
      <c r="F13" s="33"/>
      <c r="G13" s="39"/>
      <c r="H13" s="40"/>
      <c r="K13" s="41"/>
    </row>
    <row r="14" spans="2:19" ht="21.75" customHeight="1" thickBot="1" x14ac:dyDescent="0.25">
      <c r="B14" s="16"/>
      <c r="C14" s="42"/>
      <c r="D14" s="43" t="s">
        <v>41</v>
      </c>
      <c r="E14" s="44"/>
      <c r="F14" s="45">
        <f>+Transactions!J3</f>
        <v>4.7305566459474955</v>
      </c>
      <c r="G14" s="46"/>
      <c r="H14" s="33"/>
      <c r="K14" s="34"/>
    </row>
    <row r="15" spans="2:19" x14ac:dyDescent="0.2">
      <c r="B15" s="21"/>
      <c r="E15" s="47"/>
      <c r="K15" s="41"/>
    </row>
    <row r="16" spans="2:19" x14ac:dyDescent="0.2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x14ac:dyDescent="0.2">
      <c r="C17" s="10"/>
      <c r="K17" s="41"/>
      <c r="N17" s="54"/>
      <c r="O17" s="53"/>
      <c r="P17" s="53"/>
      <c r="Q17" s="53"/>
      <c r="R17" s="53"/>
      <c r="S17" s="53"/>
    </row>
    <row r="18" spans="2:19" x14ac:dyDescent="0.2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25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95</v>
      </c>
      <c r="I19" s="56" t="s">
        <v>94</v>
      </c>
      <c r="J19" s="57" t="s">
        <v>97</v>
      </c>
      <c r="K19" s="58" t="s">
        <v>98</v>
      </c>
      <c r="N19" s="52"/>
      <c r="O19" s="53"/>
      <c r="P19" s="53"/>
      <c r="Q19" s="53"/>
      <c r="R19" s="53"/>
      <c r="S19" s="53"/>
    </row>
    <row r="20" spans="2:19" ht="53.25" customHeight="1" x14ac:dyDescent="0.2">
      <c r="C20" s="59" t="s">
        <v>51</v>
      </c>
      <c r="D20" s="60" t="str">
        <f>"Actual Charge
("&amp;F8&amp;" True-Up)"</f>
        <v>Actual Charge
(2022 True-Up)</v>
      </c>
      <c r="E20" s="61" t="str">
        <f>"Invoiced for
CY"&amp;F8&amp;" Transmission Service"</f>
        <v>Invoiced for
CY2022 Transmission Service</v>
      </c>
      <c r="F20" s="60" t="s">
        <v>40</v>
      </c>
      <c r="G20" s="62" t="s">
        <v>7</v>
      </c>
      <c r="H20" s="62" t="s">
        <v>89</v>
      </c>
      <c r="I20" s="63" t="s">
        <v>45</v>
      </c>
      <c r="J20" s="64" t="s">
        <v>99</v>
      </c>
      <c r="K20" s="65" t="s">
        <v>101</v>
      </c>
      <c r="N20" s="52"/>
      <c r="O20" s="53"/>
      <c r="P20" s="53"/>
      <c r="Q20" s="53"/>
      <c r="R20" s="53"/>
      <c r="S20" s="53"/>
    </row>
    <row r="21" spans="2:19" x14ac:dyDescent="0.2">
      <c r="B21" s="66"/>
      <c r="C21" s="67" t="s">
        <v>14</v>
      </c>
      <c r="D21" s="68">
        <f>GETPIVOTDATA("Sum of "&amp;T(Transactions!$J$19),Pivot!$A$3,"Customer",C21)</f>
        <v>46950.774711028891</v>
      </c>
      <c r="E21" s="68">
        <f>GETPIVOTDATA("Sum of "&amp;T(Transactions!$K$19),Pivot!$A$3,"Customer",C21)</f>
        <v>71875.093779385905</v>
      </c>
      <c r="F21" s="68">
        <f>D21-E21</f>
        <v>-24924.319068357014</v>
      </c>
      <c r="G21" s="53">
        <f>+GETPIVOTDATA("Sum of "&amp;T(Transactions!$M$19),Pivot!$A$3,"Customer","AECC")</f>
        <v>-1360.9957450670931</v>
      </c>
      <c r="H21" s="53">
        <f>GETPIVOTDATA("Sum of "&amp;T(Transactions!$Q$19),Pivot!$A$3,"Customer","AECC")</f>
        <v>0</v>
      </c>
      <c r="I21" s="69">
        <f>F21+G21-H21</f>
        <v>-26285.314813424106</v>
      </c>
      <c r="J21" s="70"/>
      <c r="K21" s="71">
        <f>I21+J21</f>
        <v>-26285.314813424106</v>
      </c>
      <c r="L21" s="66"/>
      <c r="N21" s="52"/>
      <c r="O21" s="53"/>
      <c r="P21" s="53"/>
      <c r="Q21" s="53"/>
      <c r="R21" s="53"/>
      <c r="S21" s="53"/>
    </row>
    <row r="22" spans="2:19" x14ac:dyDescent="0.2">
      <c r="B22" s="66"/>
      <c r="C22" s="72" t="s">
        <v>86</v>
      </c>
      <c r="D22" s="68">
        <f>GETPIVOTDATA("Sum of "&amp;T(Transactions!$J$19),Pivot!$A$3,"Customer",C22)</f>
        <v>2578.1533720413845</v>
      </c>
      <c r="E22" s="68">
        <f>GETPIVOTDATA("Sum of "&amp;T(Transactions!$K$19),Pivot!$A$3,"Customer",C22)</f>
        <v>3946.7935626967574</v>
      </c>
      <c r="F22" s="68">
        <f>D22-E22</f>
        <v>-1368.6401906553729</v>
      </c>
      <c r="G22" s="53">
        <f>+GETPIVOTDATA("Sum of "&amp;T(Transactions!$M$19),Pivot!$A$3,"Customer","AECI")</f>
        <v>-74.734778948268598</v>
      </c>
      <c r="H22" s="53">
        <f>GETPIVOTDATA("Sum of "&amp;T(Transactions!$Q$19),Pivot!$A$3,"Customer",C22)</f>
        <v>0</v>
      </c>
      <c r="I22" s="69">
        <f t="shared" ref="I22:I33" si="0">F22+G22-H22</f>
        <v>-1443.3749696036414</v>
      </c>
      <c r="J22" s="70"/>
      <c r="K22" s="71">
        <f t="shared" ref="K22:K39" si="1">I22+J22</f>
        <v>-1443.3749696036414</v>
      </c>
      <c r="L22" s="66"/>
      <c r="N22" s="52"/>
      <c r="O22" s="53"/>
      <c r="P22" s="53"/>
      <c r="Q22" s="53"/>
      <c r="R22" s="53"/>
      <c r="S22" s="53"/>
    </row>
    <row r="23" spans="2:19" x14ac:dyDescent="0.2">
      <c r="B23" s="66"/>
      <c r="C23" s="72" t="s">
        <v>55</v>
      </c>
      <c r="D23" s="68">
        <f>GETPIVOTDATA("Sum of "&amp;T(Transactions!$J$19),Pivot!$A$3,"Customer",C23)</f>
        <v>7308.7100179888803</v>
      </c>
      <c r="E23" s="68">
        <f>GETPIVOTDATA("Sum of "&amp;T(Transactions!$K$19),Pivot!$A$3,"Customer",C23)</f>
        <v>11188.616613516499</v>
      </c>
      <c r="F23" s="68">
        <f t="shared" ref="F23:F35" si="2">D23-E23</f>
        <v>-3879.9065955276183</v>
      </c>
      <c r="G23" s="53">
        <f>+GETPIVOTDATA("Sum of "&amp;T(Transactions!$M$19),Pivot!$A$3,"Customer","Bentonville, AR")</f>
        <v>-211.86281371573389</v>
      </c>
      <c r="H23" s="53">
        <f>GETPIVOTDATA("Sum of "&amp;T(Transactions!$Q$19),Pivot!$A$3,"Customer",C23)</f>
        <v>0</v>
      </c>
      <c r="I23" s="69">
        <f t="shared" si="0"/>
        <v>-4091.7694092433521</v>
      </c>
      <c r="J23" s="70"/>
      <c r="K23" s="71">
        <f t="shared" si="1"/>
        <v>-4091.7694092433521</v>
      </c>
      <c r="L23" s="66"/>
      <c r="N23" s="52"/>
      <c r="O23" s="53"/>
      <c r="P23" s="53"/>
      <c r="Q23" s="53"/>
      <c r="R23" s="53"/>
      <c r="S23" s="53"/>
    </row>
    <row r="24" spans="2:19" x14ac:dyDescent="0.2">
      <c r="B24" s="66"/>
      <c r="C24" s="67" t="s">
        <v>17</v>
      </c>
      <c r="D24" s="68">
        <f>GETPIVOTDATA("Sum of "&amp;T(Transactions!$J$19),Pivot!$A$3,"Customer",C24)</f>
        <v>5354.9901232125658</v>
      </c>
      <c r="E24" s="68">
        <f>GETPIVOTDATA("Sum of "&amp;T(Transactions!$K$19),Pivot!$A$3,"Customer",C24)</f>
        <v>8197.7436935279457</v>
      </c>
      <c r="F24" s="68">
        <f t="shared" si="2"/>
        <v>-2842.7535703153799</v>
      </c>
      <c r="G24" s="53">
        <f>+GETPIVOTDATA("Sum of "&amp;T(Transactions!$M$19),Pivot!$A$3,"Customer","Coffeyville, KS")</f>
        <v>-155.22893535677073</v>
      </c>
      <c r="H24" s="53">
        <f>GETPIVOTDATA("Sum of "&amp;T(Transactions!$Q$19),Pivot!$A$3,"Customer",C24)</f>
        <v>0</v>
      </c>
      <c r="I24" s="69">
        <f t="shared" si="0"/>
        <v>-2997.9825056721506</v>
      </c>
      <c r="J24" s="70"/>
      <c r="K24" s="71">
        <f t="shared" si="1"/>
        <v>-2997.9825056721506</v>
      </c>
      <c r="L24" s="66"/>
      <c r="N24" s="52"/>
      <c r="O24" s="53"/>
      <c r="P24" s="53"/>
      <c r="Q24" s="53"/>
      <c r="R24" s="53"/>
      <c r="S24" s="53"/>
    </row>
    <row r="25" spans="2:19" x14ac:dyDescent="0.2">
      <c r="B25" s="66"/>
      <c r="C25" s="72" t="s">
        <v>13</v>
      </c>
      <c r="D25" s="68">
        <f>GETPIVOTDATA("Sum of "&amp;T(Transactions!$J$19),Pivot!$A$3,"Customer",C25)</f>
        <v>52149.656464925189</v>
      </c>
      <c r="E25" s="68">
        <f>GETPIVOTDATA("Sum of "&amp;T(Transactions!$K$19),Pivot!$A$3,"Customer",C25)</f>
        <v>79833.857312236811</v>
      </c>
      <c r="F25" s="68">
        <f t="shared" si="2"/>
        <v>-27684.200847311622</v>
      </c>
      <c r="G25" s="53">
        <f>+GETPIVOTDATA("Sum of "&amp;T(Transactions!$M$19),Pivot!$A$3,"Customer","ETEC")</f>
        <v>-1511.6994552765377</v>
      </c>
      <c r="H25" s="53">
        <f>GETPIVOTDATA("Sum of "&amp;T(Transactions!$Q$19),Pivot!$A$3,"Customer",C25)</f>
        <v>0</v>
      </c>
      <c r="I25" s="69">
        <f t="shared" si="0"/>
        <v>-29195.900302588161</v>
      </c>
      <c r="J25" s="70"/>
      <c r="K25" s="71">
        <f t="shared" si="1"/>
        <v>-29195.900302588161</v>
      </c>
      <c r="L25" s="66"/>
      <c r="N25" s="54"/>
      <c r="O25" s="53"/>
      <c r="P25" s="53"/>
      <c r="Q25" s="53"/>
      <c r="R25" s="53"/>
      <c r="S25" s="53"/>
    </row>
    <row r="26" spans="2:19" x14ac:dyDescent="0.2">
      <c r="B26" s="66"/>
      <c r="C26" s="67" t="s">
        <v>15</v>
      </c>
      <c r="D26" s="68">
        <f>GETPIVOTDATA("Sum of "&amp;T(Transactions!$J$19),Pivot!$A$3,"Customer",C26)</f>
        <v>539.28345763801451</v>
      </c>
      <c r="E26" s="68">
        <f>GETPIVOTDATA("Sum of "&amp;T(Transactions!$K$19),Pivot!$A$3,"Customer",C26)</f>
        <v>825.56782779345031</v>
      </c>
      <c r="F26" s="68">
        <f t="shared" si="2"/>
        <v>-286.28437015543579</v>
      </c>
      <c r="G26" s="53">
        <f>+GETPIVOTDATA("Sum of "&amp;T(Transactions!$M$19),Pivot!$A$3,"Customer","Greenbelt")</f>
        <v>-15.632595963491047</v>
      </c>
      <c r="H26" s="53">
        <f>GETPIVOTDATA("Sum of "&amp;T(Transactions!$Q$19),Pivot!$A$3,"Customer",C26)</f>
        <v>0</v>
      </c>
      <c r="I26" s="69">
        <f t="shared" si="0"/>
        <v>-301.91696611892684</v>
      </c>
      <c r="J26" s="70"/>
      <c r="K26" s="71">
        <f t="shared" si="1"/>
        <v>-301.91696611892684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">
      <c r="B27" s="66"/>
      <c r="C27" s="67" t="s">
        <v>58</v>
      </c>
      <c r="D27" s="68">
        <f>GETPIVOTDATA("Sum of "&amp;T(Transactions!$J$19),Pivot!$A$3,"Customer",C27)</f>
        <v>2223.3616235953232</v>
      </c>
      <c r="E27" s="68">
        <f>GETPIVOTDATA("Sum of "&amp;T(Transactions!$K$19),Pivot!$A$3,"Customer",C27)</f>
        <v>3403.656833885278</v>
      </c>
      <c r="F27" s="68">
        <f t="shared" si="2"/>
        <v>-1180.2952102899549</v>
      </c>
      <c r="G27" s="53">
        <f>+GETPIVOTDATA("Sum of "&amp;T(Transactions!$M$19),Pivot!$A$3,"Customer","Hope, AR")</f>
        <v>-64.450176340708694</v>
      </c>
      <c r="H27" s="53">
        <f>GETPIVOTDATA("Sum of "&amp;T(Transactions!$Q$19),Pivot!$A$3,"Customer",C27)</f>
        <v>0</v>
      </c>
      <c r="I27" s="69">
        <f t="shared" si="0"/>
        <v>-1244.7453866306635</v>
      </c>
      <c r="J27" s="70"/>
      <c r="K27" s="71">
        <f t="shared" si="1"/>
        <v>-1244.7453866306635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">
      <c r="B28" s="66"/>
      <c r="C28" s="67" t="s">
        <v>16</v>
      </c>
      <c r="D28" s="68">
        <f>GETPIVOTDATA("Sum of "&amp;T(Transactions!$J$19),Pivot!$A$3,"Customer",C28)</f>
        <v>189.22226583789984</v>
      </c>
      <c r="E28" s="68">
        <f>GETPIVOTDATA("Sum of "&amp;T(Transactions!$K$19),Pivot!$A$3,"Customer",C28)</f>
        <v>289.67292203278964</v>
      </c>
      <c r="F28" s="68">
        <f t="shared" si="2"/>
        <v>-100.4506561948898</v>
      </c>
      <c r="G28" s="53">
        <f>+GETPIVOTDATA("Sum of "&amp;T(Transactions!$M$19),Pivot!$A$3,"Customer","Lighthouse")</f>
        <v>-5.4851213906986125</v>
      </c>
      <c r="H28" s="53">
        <f>GETPIVOTDATA("Sum of "&amp;T(Transactions!$Q$19),Pivot!$A$3,"Customer",C28)</f>
        <v>0</v>
      </c>
      <c r="I28" s="69">
        <f t="shared" si="0"/>
        <v>-105.93577758558841</v>
      </c>
      <c r="J28" s="70"/>
      <c r="K28" s="71">
        <f t="shared" si="1"/>
        <v>-105.93577758558841</v>
      </c>
      <c r="L28" s="66"/>
      <c r="N28" s="52"/>
      <c r="O28" s="53"/>
      <c r="P28" s="53"/>
      <c r="Q28" s="53"/>
      <c r="R28" s="53"/>
      <c r="S28" s="53"/>
    </row>
    <row r="29" spans="2:19" x14ac:dyDescent="0.2">
      <c r="B29" s="66"/>
      <c r="C29" s="72" t="s">
        <v>57</v>
      </c>
      <c r="D29" s="68">
        <f>GETPIVOTDATA("Sum of "&amp;T(Transactions!$J$19),Pivot!$A$3,"Customer",C29)</f>
        <v>1575.2753631005162</v>
      </c>
      <c r="E29" s="68">
        <f>GETPIVOTDATA("Sum of "&amp;T(Transactions!$K$19),Pivot!$A$3,"Customer",C29)</f>
        <v>2411.5270759229738</v>
      </c>
      <c r="F29" s="68">
        <f t="shared" si="2"/>
        <v>-836.25171282245765</v>
      </c>
      <c r="G29" s="53">
        <f>+GETPIVOTDATA("Sum of "&amp;T(Transactions!$M$19),Pivot!$A$3,"Customer","Minden, LA")</f>
        <v>-45.663635577565955</v>
      </c>
      <c r="H29" s="53">
        <f>GETPIVOTDATA("Sum of "&amp;T(Transactions!$Q$19),Pivot!$A$3,"Customer",C29)</f>
        <v>0</v>
      </c>
      <c r="I29" s="69">
        <f t="shared" si="0"/>
        <v>-881.91534840002362</v>
      </c>
      <c r="J29" s="70"/>
      <c r="K29" s="71">
        <f t="shared" si="1"/>
        <v>-881.91534840002362</v>
      </c>
      <c r="L29" s="66"/>
      <c r="N29" s="52"/>
      <c r="O29" s="53"/>
      <c r="P29" s="53"/>
      <c r="Q29" s="53"/>
      <c r="R29" s="53"/>
      <c r="S29" s="53"/>
    </row>
    <row r="30" spans="2:19" x14ac:dyDescent="0.2">
      <c r="B30" s="66"/>
      <c r="C30" s="72" t="s">
        <v>19</v>
      </c>
      <c r="D30" s="68">
        <f>GETPIVOTDATA("Sum of "&amp;T(Transactions!$J$19),Pivot!$A$3,"Customer",C30)</f>
        <v>3008.6340268226077</v>
      </c>
      <c r="E30" s="68">
        <f>GETPIVOTDATA("Sum of "&amp;T(Transactions!$K$19),Pivot!$A$3,"Customer",C30)</f>
        <v>4605.7994603213547</v>
      </c>
      <c r="F30" s="68">
        <f t="shared" si="2"/>
        <v>-1597.165433498747</v>
      </c>
      <c r="G30" s="53">
        <f>+GETPIVOTDATA("Sum of "&amp;T(Transactions!$M$19),Pivot!$A$3,"Customer","OG&amp;E")</f>
        <v>-87.213430112107957</v>
      </c>
      <c r="H30" s="53">
        <f>GETPIVOTDATA("Sum of "&amp;T(Transactions!$Q$19),Pivot!$A$3,"Customer",C30)</f>
        <v>0</v>
      </c>
      <c r="I30" s="69">
        <f t="shared" si="0"/>
        <v>-1684.378863610855</v>
      </c>
      <c r="J30" s="70"/>
      <c r="K30" s="71">
        <f t="shared" si="1"/>
        <v>-1684.378863610855</v>
      </c>
      <c r="L30" s="66"/>
    </row>
    <row r="31" spans="2:19" x14ac:dyDescent="0.2">
      <c r="B31" s="66"/>
      <c r="C31" s="67" t="s">
        <v>8</v>
      </c>
      <c r="D31" s="68">
        <f>GETPIVOTDATA("Sum of "&amp;T(Transactions!$J$19),Pivot!$A$3,"Customer",C31)</f>
        <v>6182.8375362533761</v>
      </c>
      <c r="E31" s="68">
        <f>GETPIVOTDATA("Sum of "&amp;T(Transactions!$K$19),Pivot!$A$3,"Customer",C31)</f>
        <v>9465.0627274213984</v>
      </c>
      <c r="F31" s="68">
        <f t="shared" si="2"/>
        <v>-3282.2251911680223</v>
      </c>
      <c r="G31" s="53">
        <f>+GETPIVOTDATA("Sum of "&amp;T(Transactions!$M$19),Pivot!$A$3,"Customer","OMPA")</f>
        <v>-179.22634144107715</v>
      </c>
      <c r="H31" s="53">
        <f>GETPIVOTDATA("Sum of "&amp;T(Transactions!$Q$19),Pivot!$A$3,"Customer",C31)</f>
        <v>0</v>
      </c>
      <c r="I31" s="69">
        <f t="shared" si="0"/>
        <v>-3461.4515326090996</v>
      </c>
      <c r="J31" s="70"/>
      <c r="K31" s="71">
        <f t="shared" si="1"/>
        <v>-3461.4515326090996</v>
      </c>
      <c r="L31" s="66"/>
    </row>
    <row r="32" spans="2:19" x14ac:dyDescent="0.2">
      <c r="B32" s="66"/>
      <c r="C32" s="67" t="s">
        <v>56</v>
      </c>
      <c r="D32" s="68">
        <f>GETPIVOTDATA("Sum of "&amp;T(Transactions!$J$19),Pivot!$A$3,"Customer",C32)</f>
        <v>619.70292061912198</v>
      </c>
      <c r="E32" s="68">
        <f>GETPIVOTDATA("Sum of "&amp;T(Transactions!$K$19),Pivot!$A$3,"Customer",C32)</f>
        <v>948.67881965738582</v>
      </c>
      <c r="F32" s="68">
        <f t="shared" si="2"/>
        <v>-328.97589903826383</v>
      </c>
      <c r="G32" s="53">
        <f>+GETPIVOTDATA("Sum of "&amp;T(Transactions!$M$19),Pivot!$A$3,"Customer","Prescott, AR")</f>
        <v>-17.963772554537954</v>
      </c>
      <c r="H32" s="53">
        <f>GETPIVOTDATA("Sum of "&amp;T(Transactions!$Q$19),Pivot!$A$3,"Customer",C32)</f>
        <v>0</v>
      </c>
      <c r="I32" s="69">
        <f t="shared" si="0"/>
        <v>-346.9396715928018</v>
      </c>
      <c r="J32" s="70"/>
      <c r="K32" s="71">
        <f t="shared" si="1"/>
        <v>-346.9396715928018</v>
      </c>
      <c r="L32" s="66"/>
    </row>
    <row r="33" spans="2:13" x14ac:dyDescent="0.2">
      <c r="B33" s="66"/>
      <c r="C33" s="74" t="s">
        <v>9</v>
      </c>
      <c r="D33" s="68">
        <f>GETPIVOTDATA("Sum of "&amp;T(Transactions!$J$19),Pivot!$A$3,"Customer",C33)</f>
        <v>2658.5728350224922</v>
      </c>
      <c r="E33" s="68">
        <f>GETPIVOTDATA("Sum of "&amp;T(Transactions!$K$19),Pivot!$A$3,"Customer",C33)</f>
        <v>4069.9045545606946</v>
      </c>
      <c r="F33" s="68">
        <f t="shared" si="2"/>
        <v>-1411.3317195382024</v>
      </c>
      <c r="G33" s="53">
        <f>+GETPIVOTDATA("Sum of "&amp;T(Transactions!$M$19),Pivot!$A$3,"Customer","WFEC")</f>
        <v>-77.06595553931551</v>
      </c>
      <c r="H33" s="53">
        <f>GETPIVOTDATA("Sum of "&amp;T(Transactions!$Q$19),Pivot!$A$3,"Customer",C33)</f>
        <v>0</v>
      </c>
      <c r="I33" s="69">
        <f t="shared" si="0"/>
        <v>-1488.397675077518</v>
      </c>
      <c r="J33" s="70"/>
      <c r="K33" s="71">
        <f t="shared" si="1"/>
        <v>-1488.397675077518</v>
      </c>
      <c r="L33" s="66"/>
    </row>
    <row r="34" spans="2:13" ht="24" x14ac:dyDescent="0.2">
      <c r="C34" s="75" t="s">
        <v>43</v>
      </c>
      <c r="D34" s="76">
        <f t="shared" ref="D34:J34" si="3">SUM(D21:D33)</f>
        <v>131339.17471808626</v>
      </c>
      <c r="E34" s="76">
        <f t="shared" si="3"/>
        <v>201061.9751829592</v>
      </c>
      <c r="F34" s="76">
        <f t="shared" si="3"/>
        <v>-69722.800464872984</v>
      </c>
      <c r="G34" s="77">
        <f t="shared" si="3"/>
        <v>-3807.222757283907</v>
      </c>
      <c r="H34" s="77">
        <f t="shared" si="3"/>
        <v>0</v>
      </c>
      <c r="I34" s="78">
        <f t="shared" si="3"/>
        <v>-73530.023222156902</v>
      </c>
      <c r="J34" s="79">
        <f t="shared" si="3"/>
        <v>0</v>
      </c>
      <c r="K34" s="80">
        <f t="shared" si="1"/>
        <v>-73530.023222156902</v>
      </c>
    </row>
    <row r="35" spans="2:13" x14ac:dyDescent="0.2">
      <c r="C35" s="81" t="s">
        <v>21</v>
      </c>
      <c r="D35" s="68">
        <f>GETPIVOTDATA("Sum of "&amp;T(Transactions!$J$19),Pivot!$A$3,"Customer",C35)</f>
        <v>183266.49502065193</v>
      </c>
      <c r="E35" s="68">
        <f>GETPIVOTDATA("Sum of "&amp;T(Transactions!$K$19),Pivot!$A$3,"Customer",C35)</f>
        <v>280555.46681180754</v>
      </c>
      <c r="F35" s="68">
        <f t="shared" si="2"/>
        <v>-97288.971791155607</v>
      </c>
      <c r="G35" s="53">
        <f>+GETPIVOTDATA("Sum of "&amp;T(Transactions!$M$19),Pivot!$A$3,"Customer","PSO")</f>
        <v>-5312.4771949263732</v>
      </c>
      <c r="H35" s="53">
        <f>GETPIVOTDATA("Sum of "&amp;T(Transactions!$Q$19),Pivot!$A$3,"Customer",C35)</f>
        <v>0</v>
      </c>
      <c r="I35" s="69">
        <f>F35+G35-H35</f>
        <v>-102601.44898608197</v>
      </c>
      <c r="J35" s="70"/>
      <c r="K35" s="71">
        <f t="shared" si="1"/>
        <v>-102601.44898608197</v>
      </c>
    </row>
    <row r="36" spans="2:13" x14ac:dyDescent="0.2">
      <c r="C36" s="82" t="s">
        <v>22</v>
      </c>
      <c r="D36" s="68">
        <f>GETPIVOTDATA("Sum of "&amp;T(Transactions!$J$19),Pivot!$A$3,"Customer",C36)</f>
        <v>172660.58702043767</v>
      </c>
      <c r="E36" s="68">
        <f>GETPIVOTDATA("Sum of "&amp;T(Transactions!$K$19),Pivot!$A$3,"Customer",C36)</f>
        <v>264319.29953186971</v>
      </c>
      <c r="F36" s="68">
        <f>D36-E36</f>
        <v>-91658.712511432037</v>
      </c>
      <c r="G36" s="53">
        <f>+GETPIVOTDATA("Sum of "&amp;T(Transactions!$M$19),Pivot!$A$3,"Customer","SWEPCO")</f>
        <v>-5005.0361409777161</v>
      </c>
      <c r="H36" s="53">
        <f>GETPIVOTDATA("Sum of "&amp;T(Transactions!$Q$19),Pivot!$A$3,"Customer",C36)</f>
        <v>0</v>
      </c>
      <c r="I36" s="69">
        <f>F36+G36-H36</f>
        <v>-96663.748652409748</v>
      </c>
      <c r="J36" s="70"/>
      <c r="K36" s="71">
        <f t="shared" si="1"/>
        <v>-96663.748652409748</v>
      </c>
    </row>
    <row r="37" spans="2:13" x14ac:dyDescent="0.2">
      <c r="C37" s="83" t="s">
        <v>82</v>
      </c>
      <c r="D37" s="68">
        <f>GETPIVOTDATA("Sum of "&amp;T(Transactions!$J$19),Pivot!$A$3,"Customer",C37)</f>
        <v>7900.029598732317</v>
      </c>
      <c r="E37" s="68">
        <f>GETPIVOTDATA("Sum of "&amp;T(Transactions!$K$19),Pivot!$A$3,"Customer",C37)</f>
        <v>12093.844494868965</v>
      </c>
      <c r="F37" s="68">
        <f>D37-E37</f>
        <v>-4193.8148961366478</v>
      </c>
      <c r="G37" s="53">
        <f>+GETPIVOTDATA("Sum of "&amp;T(Transactions!$M$19),Pivot!$A$3,"Customer","SWEPCO-Valley")</f>
        <v>-229.00381806166709</v>
      </c>
      <c r="H37" s="53">
        <f>GETPIVOTDATA("Sum of "&amp;T(Transactions!$Q$19),Pivot!$A$3,"Customer",C37)</f>
        <v>0</v>
      </c>
      <c r="I37" s="69">
        <f>F37+G37-H37</f>
        <v>-4422.8187141983153</v>
      </c>
      <c r="J37" s="70"/>
      <c r="K37" s="71">
        <f t="shared" si="1"/>
        <v>-4422.8187141983153</v>
      </c>
    </row>
    <row r="38" spans="2:13" ht="24" x14ac:dyDescent="0.2">
      <c r="C38" s="84" t="s">
        <v>52</v>
      </c>
      <c r="D38" s="85">
        <f t="shared" ref="D38:I38" si="4">SUM(D35:D37)</f>
        <v>363827.1116398219</v>
      </c>
      <c r="E38" s="85">
        <f t="shared" si="4"/>
        <v>556968.61083854618</v>
      </c>
      <c r="F38" s="85">
        <f t="shared" si="4"/>
        <v>-193141.49919872428</v>
      </c>
      <c r="G38" s="86">
        <f t="shared" si="4"/>
        <v>-10546.517153965755</v>
      </c>
      <c r="H38" s="86">
        <f t="shared" si="4"/>
        <v>0</v>
      </c>
      <c r="I38" s="87">
        <f t="shared" si="4"/>
        <v>-203688.01635269003</v>
      </c>
      <c r="J38" s="88">
        <f>SUM(J35:J37)</f>
        <v>0</v>
      </c>
      <c r="K38" s="89">
        <f t="shared" si="1"/>
        <v>-203688.01635269003</v>
      </c>
    </row>
    <row r="39" spans="2:13" ht="23.25" customHeight="1" thickBot="1" x14ac:dyDescent="0.25">
      <c r="C39" s="90" t="s">
        <v>44</v>
      </c>
      <c r="D39" s="91">
        <f t="shared" ref="D39:I39" si="5">SUM(D34,D38)</f>
        <v>495166.28635790816</v>
      </c>
      <c r="E39" s="92">
        <f t="shared" si="5"/>
        <v>758030.58602150541</v>
      </c>
      <c r="F39" s="91">
        <f t="shared" si="5"/>
        <v>-262864.29966359725</v>
      </c>
      <c r="G39" s="92">
        <f t="shared" si="5"/>
        <v>-14353.739911249662</v>
      </c>
      <c r="H39" s="92">
        <f t="shared" si="5"/>
        <v>0</v>
      </c>
      <c r="I39" s="93">
        <f t="shared" si="5"/>
        <v>-277218.03957484692</v>
      </c>
      <c r="J39" s="94">
        <f>SUM(J34,J38)</f>
        <v>0</v>
      </c>
      <c r="K39" s="95">
        <f t="shared" si="1"/>
        <v>-277218.03957484692</v>
      </c>
      <c r="M39" s="96"/>
    </row>
    <row r="40" spans="2:13" x14ac:dyDescent="0.2">
      <c r="E40" s="52"/>
      <c r="F40" s="52"/>
      <c r="G40" s="52"/>
      <c r="H40" s="52"/>
    </row>
    <row r="41" spans="2:13" x14ac:dyDescent="0.2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">
      <c r="C42" s="3"/>
      <c r="K42" s="97"/>
    </row>
    <row r="43" spans="2:13" x14ac:dyDescent="0.2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98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8.7109375" defaultRowHeight="12.75" x14ac:dyDescent="0.2"/>
  <cols>
    <col min="1" max="1" width="19.140625" style="1" customWidth="1"/>
    <col min="2" max="2" width="28.5703125" style="1" bestFit="1" customWidth="1"/>
    <col min="3" max="14" width="15.42578125" style="1" bestFit="1" customWidth="1"/>
    <col min="15" max="15" width="10.5703125" style="1" bestFit="1" customWidth="1"/>
    <col min="16" max="16384" width="8.7109375" style="1"/>
  </cols>
  <sheetData>
    <row r="3" spans="1:15" x14ac:dyDescent="0.2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">
      <c r="A4" s="100" t="s">
        <v>0</v>
      </c>
      <c r="B4" s="100" t="s">
        <v>24</v>
      </c>
      <c r="C4" s="102">
        <v>44562</v>
      </c>
      <c r="D4" s="103">
        <v>44593</v>
      </c>
      <c r="E4" s="103">
        <v>44621</v>
      </c>
      <c r="F4" s="103">
        <v>44652</v>
      </c>
      <c r="G4" s="103">
        <v>44682</v>
      </c>
      <c r="H4" s="103">
        <v>44713</v>
      </c>
      <c r="I4" s="103">
        <v>44743</v>
      </c>
      <c r="J4" s="103">
        <v>44774</v>
      </c>
      <c r="K4" s="103">
        <v>44805</v>
      </c>
      <c r="L4" s="103">
        <v>44835</v>
      </c>
      <c r="M4" s="103">
        <v>44866</v>
      </c>
      <c r="N4" s="103">
        <v>44896</v>
      </c>
      <c r="O4" s="104" t="s">
        <v>18</v>
      </c>
    </row>
    <row r="5" spans="1:15" x14ac:dyDescent="0.2">
      <c r="A5" s="98" t="s">
        <v>14</v>
      </c>
      <c r="B5" s="98" t="s">
        <v>71</v>
      </c>
      <c r="C5" s="105">
        <v>4224.3870848311135</v>
      </c>
      <c r="D5" s="106">
        <v>3765.5230901742066</v>
      </c>
      <c r="E5" s="106">
        <v>3311.3896521632469</v>
      </c>
      <c r="F5" s="106">
        <v>2597.0755986251752</v>
      </c>
      <c r="G5" s="106">
        <v>3562.1091543984639</v>
      </c>
      <c r="H5" s="106">
        <v>4456.1843604825408</v>
      </c>
      <c r="I5" s="106">
        <v>4900.8566852016056</v>
      </c>
      <c r="J5" s="106">
        <v>4512.951040233911</v>
      </c>
      <c r="K5" s="106">
        <v>4068.2787155148462</v>
      </c>
      <c r="L5" s="106">
        <v>2786.2978644630748</v>
      </c>
      <c r="M5" s="106">
        <v>3453.3063515416716</v>
      </c>
      <c r="N5" s="106">
        <v>5312.4151133990372</v>
      </c>
      <c r="O5" s="107">
        <v>46950.774711028891</v>
      </c>
    </row>
    <row r="6" spans="1:15" x14ac:dyDescent="0.2">
      <c r="A6" s="230"/>
      <c r="B6" s="108" t="s">
        <v>25</v>
      </c>
      <c r="C6" s="234">
        <v>-2242.5608995509137</v>
      </c>
      <c r="D6" s="235">
        <v>-1998.9680582783062</v>
      </c>
      <c r="E6" s="235">
        <v>-1757.8864834105707</v>
      </c>
      <c r="F6" s="235">
        <v>-1378.6852562748618</v>
      </c>
      <c r="G6" s="235">
        <v>-1890.9836028687996</v>
      </c>
      <c r="H6" s="235">
        <v>-2365.6129533896537</v>
      </c>
      <c r="I6" s="235">
        <v>-2601.6719954476448</v>
      </c>
      <c r="J6" s="235">
        <v>-2395.7481502481205</v>
      </c>
      <c r="K6" s="235">
        <v>-2159.6891081901294</v>
      </c>
      <c r="L6" s="235">
        <v>-1479.1359124697519</v>
      </c>
      <c r="M6" s="235">
        <v>-1833.2244755567381</v>
      </c>
      <c r="N6" s="235">
        <v>-2820.15217267153</v>
      </c>
      <c r="O6" s="236">
        <v>-24924.319068357021</v>
      </c>
    </row>
    <row r="7" spans="1:15" x14ac:dyDescent="0.2">
      <c r="A7" s="230"/>
      <c r="B7" s="108" t="s">
        <v>26</v>
      </c>
      <c r="C7" s="234">
        <v>-122.45533504734652</v>
      </c>
      <c r="D7" s="235">
        <v>-109.15391567490239</v>
      </c>
      <c r="E7" s="235">
        <v>-95.98962433722572</v>
      </c>
      <c r="F7" s="235">
        <v>-75.283291087338455</v>
      </c>
      <c r="G7" s="235">
        <v>-103.25741017990138</v>
      </c>
      <c r="H7" s="235">
        <v>-129.17460875095233</v>
      </c>
      <c r="I7" s="235">
        <v>-142.06464401909406</v>
      </c>
      <c r="J7" s="235">
        <v>-130.8201451681619</v>
      </c>
      <c r="K7" s="235">
        <v>-117.93010990002018</v>
      </c>
      <c r="L7" s="235">
        <v>-80.768412478037064</v>
      </c>
      <c r="M7" s="235">
        <v>-100.10346538024969</v>
      </c>
      <c r="N7" s="235">
        <v>-153.99478304386355</v>
      </c>
      <c r="O7" s="236">
        <v>-1360.9957450670931</v>
      </c>
    </row>
    <row r="8" spans="1:15" x14ac:dyDescent="0.2">
      <c r="A8" s="230"/>
      <c r="B8" s="108" t="s">
        <v>27</v>
      </c>
      <c r="C8" s="234">
        <v>-2365.0162345982603</v>
      </c>
      <c r="D8" s="235">
        <v>-2108.1219739532085</v>
      </c>
      <c r="E8" s="235">
        <v>-1853.8761077477964</v>
      </c>
      <c r="F8" s="235">
        <v>-1453.9685473622003</v>
      </c>
      <c r="G8" s="235">
        <v>-1994.241013048701</v>
      </c>
      <c r="H8" s="235">
        <v>-2494.787562140606</v>
      </c>
      <c r="I8" s="235">
        <v>-2743.7366394667388</v>
      </c>
      <c r="J8" s="235">
        <v>-2526.5682954162826</v>
      </c>
      <c r="K8" s="235">
        <v>-2277.6192180901498</v>
      </c>
      <c r="L8" s="235">
        <v>-1559.9043249477891</v>
      </c>
      <c r="M8" s="235">
        <v>-1933.3279409369877</v>
      </c>
      <c r="N8" s="235">
        <v>-2974.1469557153937</v>
      </c>
      <c r="O8" s="236">
        <v>-26285.314813424109</v>
      </c>
    </row>
    <row r="9" spans="1:15" x14ac:dyDescent="0.2">
      <c r="A9" s="230"/>
      <c r="B9" s="108" t="s">
        <v>50</v>
      </c>
      <c r="C9" s="109">
        <v>6466.9479843820272</v>
      </c>
      <c r="D9" s="97">
        <v>5764.4911484525128</v>
      </c>
      <c r="E9" s="97">
        <v>5069.2761355738176</v>
      </c>
      <c r="F9" s="97">
        <v>3975.760854900037</v>
      </c>
      <c r="G9" s="97">
        <v>5453.0927572672636</v>
      </c>
      <c r="H9" s="97">
        <v>6821.7973138721945</v>
      </c>
      <c r="I9" s="97">
        <v>7502.5286806492504</v>
      </c>
      <c r="J9" s="97">
        <v>6908.6991904820316</v>
      </c>
      <c r="K9" s="97">
        <v>6227.9678237049757</v>
      </c>
      <c r="L9" s="97">
        <v>4265.4337769328267</v>
      </c>
      <c r="M9" s="97">
        <v>5286.5308270984096</v>
      </c>
      <c r="N9" s="97">
        <v>8132.5672860705672</v>
      </c>
      <c r="O9" s="110">
        <v>71875.093779385905</v>
      </c>
    </row>
    <row r="10" spans="1:15" x14ac:dyDescent="0.2">
      <c r="A10" s="230"/>
      <c r="B10" s="108" t="s">
        <v>90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">
      <c r="A11" s="230"/>
      <c r="B11" s="108" t="s">
        <v>92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">
      <c r="A12" s="98" t="s">
        <v>17</v>
      </c>
      <c r="B12" s="98" t="s">
        <v>71</v>
      </c>
      <c r="C12" s="105">
        <v>501.4390044704345</v>
      </c>
      <c r="D12" s="106">
        <v>477.78622124069705</v>
      </c>
      <c r="E12" s="106">
        <v>458.86399465690704</v>
      </c>
      <c r="F12" s="106">
        <v>463.59455130285454</v>
      </c>
      <c r="G12" s="106">
        <v>491.97789117853955</v>
      </c>
      <c r="H12" s="106">
        <v>544.01401428396196</v>
      </c>
      <c r="I12" s="106">
        <v>198.68337912979482</v>
      </c>
      <c r="J12" s="106">
        <v>193.95282248384731</v>
      </c>
      <c r="K12" s="106">
        <v>544.01401428396196</v>
      </c>
      <c r="L12" s="106">
        <v>496.70844782448705</v>
      </c>
      <c r="M12" s="106">
        <v>491.97789117853955</v>
      </c>
      <c r="N12" s="106">
        <v>491.97789117853955</v>
      </c>
      <c r="O12" s="107">
        <v>5354.9901232125658</v>
      </c>
    </row>
    <row r="13" spans="1:15" x14ac:dyDescent="0.2">
      <c r="A13" s="230"/>
      <c r="B13" s="108" t="s">
        <v>25</v>
      </c>
      <c r="C13" s="234">
        <v>-266.19423891645795</v>
      </c>
      <c r="D13" s="235">
        <v>-253.63790689209668</v>
      </c>
      <c r="E13" s="235">
        <v>-243.59284127260776</v>
      </c>
      <c r="F13" s="235">
        <v>-246.10410767747993</v>
      </c>
      <c r="G13" s="235">
        <v>-261.17170610671332</v>
      </c>
      <c r="H13" s="235">
        <v>-288.79563656030814</v>
      </c>
      <c r="I13" s="235">
        <v>-105.47318900463424</v>
      </c>
      <c r="J13" s="235">
        <v>-102.961922599762</v>
      </c>
      <c r="K13" s="235">
        <v>-288.79563656030814</v>
      </c>
      <c r="L13" s="235">
        <v>-263.6829725115856</v>
      </c>
      <c r="M13" s="235">
        <v>-261.17170610671332</v>
      </c>
      <c r="N13" s="235">
        <v>-261.17170610671332</v>
      </c>
      <c r="O13" s="236">
        <v>-2842.7535703153808</v>
      </c>
    </row>
    <row r="14" spans="1:15" x14ac:dyDescent="0.2">
      <c r="A14" s="230"/>
      <c r="B14" s="108" t="s">
        <v>26</v>
      </c>
      <c r="C14" s="234">
        <v>-14.535571685351323</v>
      </c>
      <c r="D14" s="235">
        <v>-13.849931511513995</v>
      </c>
      <c r="E14" s="235">
        <v>-13.301419372444135</v>
      </c>
      <c r="F14" s="235">
        <v>-13.438547407211601</v>
      </c>
      <c r="G14" s="235">
        <v>-14.261315615816391</v>
      </c>
      <c r="H14" s="235">
        <v>-15.769723998258513</v>
      </c>
      <c r="I14" s="235">
        <v>-5.7593774602335435</v>
      </c>
      <c r="J14" s="235">
        <v>-5.6222494254660775</v>
      </c>
      <c r="K14" s="235">
        <v>-15.769723998258513</v>
      </c>
      <c r="L14" s="235">
        <v>-14.398443650583859</v>
      </c>
      <c r="M14" s="235">
        <v>-14.261315615816391</v>
      </c>
      <c r="N14" s="235">
        <v>-14.261315615816391</v>
      </c>
      <c r="O14" s="236">
        <v>-155.22893535677073</v>
      </c>
    </row>
    <row r="15" spans="1:15" x14ac:dyDescent="0.2">
      <c r="A15" s="230"/>
      <c r="B15" s="108" t="s">
        <v>27</v>
      </c>
      <c r="C15" s="234">
        <v>-280.72981060180928</v>
      </c>
      <c r="D15" s="235">
        <v>-267.48783840361068</v>
      </c>
      <c r="E15" s="235">
        <v>-256.89426064505187</v>
      </c>
      <c r="F15" s="235">
        <v>-259.54265508469155</v>
      </c>
      <c r="G15" s="235">
        <v>-275.4330217225297</v>
      </c>
      <c r="H15" s="235">
        <v>-304.56536055856668</v>
      </c>
      <c r="I15" s="235">
        <v>-111.23256646486777</v>
      </c>
      <c r="J15" s="235">
        <v>-108.58417202522809</v>
      </c>
      <c r="K15" s="235">
        <v>-304.56536055856668</v>
      </c>
      <c r="L15" s="235">
        <v>-278.08141616216949</v>
      </c>
      <c r="M15" s="235">
        <v>-275.4330217225297</v>
      </c>
      <c r="N15" s="235">
        <v>-275.4330217225297</v>
      </c>
      <c r="O15" s="236">
        <v>-2997.9825056721511</v>
      </c>
    </row>
    <row r="16" spans="1:15" x14ac:dyDescent="0.2">
      <c r="A16" s="230"/>
      <c r="B16" s="108" t="s">
        <v>50</v>
      </c>
      <c r="C16" s="109">
        <v>767.63324338689245</v>
      </c>
      <c r="D16" s="97">
        <v>731.42412813279373</v>
      </c>
      <c r="E16" s="97">
        <v>702.4568359295148</v>
      </c>
      <c r="F16" s="97">
        <v>709.69865898033447</v>
      </c>
      <c r="G16" s="97">
        <v>753.14959728525287</v>
      </c>
      <c r="H16" s="97">
        <v>832.8096508442701</v>
      </c>
      <c r="I16" s="97">
        <v>304.15656813442905</v>
      </c>
      <c r="J16" s="97">
        <v>296.91474508360932</v>
      </c>
      <c r="K16" s="97">
        <v>832.8096508442701</v>
      </c>
      <c r="L16" s="97">
        <v>760.39142033607266</v>
      </c>
      <c r="M16" s="97">
        <v>753.14959728525287</v>
      </c>
      <c r="N16" s="97">
        <v>753.14959728525287</v>
      </c>
      <c r="O16" s="110">
        <v>8197.7436935279457</v>
      </c>
    </row>
    <row r="17" spans="1:15" x14ac:dyDescent="0.2">
      <c r="A17" s="230"/>
      <c r="B17" s="108" t="s">
        <v>90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">
      <c r="A18" s="230"/>
      <c r="B18" s="108" t="s">
        <v>92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">
      <c r="A19" s="98" t="s">
        <v>13</v>
      </c>
      <c r="B19" s="98" t="s">
        <v>71</v>
      </c>
      <c r="C19" s="105">
        <v>4943.4316950151324</v>
      </c>
      <c r="D19" s="106">
        <v>5269.8401035855104</v>
      </c>
      <c r="E19" s="106">
        <v>4621.7538430907034</v>
      </c>
      <c r="F19" s="106">
        <v>2549.7700321657003</v>
      </c>
      <c r="G19" s="106">
        <v>3566.8397110444116</v>
      </c>
      <c r="H19" s="106">
        <v>4475.1065870663306</v>
      </c>
      <c r="I19" s="106">
        <v>4631.2149563825978</v>
      </c>
      <c r="J19" s="106">
        <v>4602.8316165069127</v>
      </c>
      <c r="K19" s="106">
        <v>4006.7814791175288</v>
      </c>
      <c r="L19" s="106">
        <v>2880.9089973820246</v>
      </c>
      <c r="M19" s="106">
        <v>3817.5592132796287</v>
      </c>
      <c r="N19" s="106">
        <v>6783.6182302887082</v>
      </c>
      <c r="O19" s="107">
        <v>52149.656464925189</v>
      </c>
    </row>
    <row r="20" spans="1:15" x14ac:dyDescent="0.2">
      <c r="A20" s="230"/>
      <c r="B20" s="108" t="s">
        <v>25</v>
      </c>
      <c r="C20" s="234">
        <v>-2624.2733930914956</v>
      </c>
      <c r="D20" s="235">
        <v>-2797.5507750276793</v>
      </c>
      <c r="E20" s="235">
        <v>-2453.507277560182</v>
      </c>
      <c r="F20" s="235">
        <v>-1353.5725922261395</v>
      </c>
      <c r="G20" s="235">
        <v>-1893.4948692736721</v>
      </c>
      <c r="H20" s="235">
        <v>-2375.6580190091436</v>
      </c>
      <c r="I20" s="235">
        <v>-2458.529810369927</v>
      </c>
      <c r="J20" s="235">
        <v>-2443.462211940694</v>
      </c>
      <c r="K20" s="235">
        <v>-2127.0426449267907</v>
      </c>
      <c r="L20" s="235">
        <v>-1529.3612405671965</v>
      </c>
      <c r="M20" s="235">
        <v>-2026.591988731901</v>
      </c>
      <c r="N20" s="235">
        <v>-3601.1560245867986</v>
      </c>
      <c r="O20" s="236">
        <v>-27684.200847311622</v>
      </c>
    </row>
    <row r="21" spans="1:15" x14ac:dyDescent="0.2">
      <c r="A21" s="230"/>
      <c r="B21" s="108" t="s">
        <v>26</v>
      </c>
      <c r="C21" s="234">
        <v>-143.29879633200127</v>
      </c>
      <c r="D21" s="235">
        <v>-152.76063073095636</v>
      </c>
      <c r="E21" s="235">
        <v>-133.9740899678136</v>
      </c>
      <c r="F21" s="235">
        <v>-73.912010739663799</v>
      </c>
      <c r="G21" s="235">
        <v>-103.39453821466884</v>
      </c>
      <c r="H21" s="235">
        <v>-129.72312089002219</v>
      </c>
      <c r="I21" s="235">
        <v>-134.24834603734854</v>
      </c>
      <c r="J21" s="235">
        <v>-133.42557782874374</v>
      </c>
      <c r="K21" s="235">
        <v>-116.14744544804311</v>
      </c>
      <c r="L21" s="235">
        <v>-83.510973173386375</v>
      </c>
      <c r="M21" s="235">
        <v>-110.66232405734451</v>
      </c>
      <c r="N21" s="235">
        <v>-196.64160185654524</v>
      </c>
      <c r="O21" s="236">
        <v>-1511.6994552765377</v>
      </c>
    </row>
    <row r="22" spans="1:15" x14ac:dyDescent="0.2">
      <c r="A22" s="230"/>
      <c r="B22" s="108" t="s">
        <v>27</v>
      </c>
      <c r="C22" s="234">
        <v>-2767.5721894234966</v>
      </c>
      <c r="D22" s="235">
        <v>-2950.3114057586358</v>
      </c>
      <c r="E22" s="235">
        <v>-2587.4813675279956</v>
      </c>
      <c r="F22" s="235">
        <v>-1427.4846029658033</v>
      </c>
      <c r="G22" s="235">
        <v>-1996.889407488341</v>
      </c>
      <c r="H22" s="235">
        <v>-2505.3811398991656</v>
      </c>
      <c r="I22" s="235">
        <v>-2592.7781564072757</v>
      </c>
      <c r="J22" s="235">
        <v>-2576.8877897694379</v>
      </c>
      <c r="K22" s="235">
        <v>-2243.1900903748337</v>
      </c>
      <c r="L22" s="235">
        <v>-1612.872213740583</v>
      </c>
      <c r="M22" s="235">
        <v>-2137.2543127892454</v>
      </c>
      <c r="N22" s="235">
        <v>-3797.7976264433437</v>
      </c>
      <c r="O22" s="236">
        <v>-29195.900302588161</v>
      </c>
    </row>
    <row r="23" spans="1:15" x14ac:dyDescent="0.2">
      <c r="A23" s="230"/>
      <c r="B23" s="108" t="s">
        <v>50</v>
      </c>
      <c r="C23" s="109">
        <v>7567.705088106628</v>
      </c>
      <c r="D23" s="97">
        <v>8067.3908786131897</v>
      </c>
      <c r="E23" s="97">
        <v>7075.2611206508855</v>
      </c>
      <c r="F23" s="97">
        <v>3903.3426243918398</v>
      </c>
      <c r="G23" s="97">
        <v>5460.3345803180837</v>
      </c>
      <c r="H23" s="97">
        <v>6850.7646060754741</v>
      </c>
      <c r="I23" s="97">
        <v>7089.7447667525248</v>
      </c>
      <c r="J23" s="97">
        <v>7046.2938284476068</v>
      </c>
      <c r="K23" s="97">
        <v>6133.8241240443194</v>
      </c>
      <c r="L23" s="97">
        <v>4410.2702379492212</v>
      </c>
      <c r="M23" s="97">
        <v>5844.1512020115297</v>
      </c>
      <c r="N23" s="97">
        <v>10384.774254875507</v>
      </c>
      <c r="O23" s="110">
        <v>79833.857312236811</v>
      </c>
    </row>
    <row r="24" spans="1:15" x14ac:dyDescent="0.2">
      <c r="A24" s="230"/>
      <c r="B24" s="108" t="s">
        <v>90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">
      <c r="A25" s="230"/>
      <c r="B25" s="108" t="s">
        <v>92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">
      <c r="A26" s="98" t="s">
        <v>15</v>
      </c>
      <c r="B26" s="98" t="s">
        <v>71</v>
      </c>
      <c r="C26" s="105">
        <v>37.844453167579964</v>
      </c>
      <c r="D26" s="106">
        <v>33.113896521632469</v>
      </c>
      <c r="E26" s="106">
        <v>23.652783229737476</v>
      </c>
      <c r="F26" s="106">
        <v>33.113896521632469</v>
      </c>
      <c r="G26" s="106">
        <v>47.305566459474953</v>
      </c>
      <c r="H26" s="106">
        <v>66.227793043264938</v>
      </c>
      <c r="I26" s="106">
        <v>85.150019627054917</v>
      </c>
      <c r="J26" s="106">
        <v>75.688906335159928</v>
      </c>
      <c r="K26" s="106">
        <v>42.575009813527458</v>
      </c>
      <c r="L26" s="106">
        <v>28.383339875684975</v>
      </c>
      <c r="M26" s="106">
        <v>28.383339875684975</v>
      </c>
      <c r="N26" s="106">
        <v>37.844453167579964</v>
      </c>
      <c r="O26" s="107">
        <v>539.28345763801451</v>
      </c>
    </row>
    <row r="27" spans="1:15" x14ac:dyDescent="0.2">
      <c r="A27" s="230"/>
      <c r="B27" s="108" t="s">
        <v>25</v>
      </c>
      <c r="C27" s="234">
        <v>-20.090131238977953</v>
      </c>
      <c r="D27" s="235">
        <v>-17.578864834105708</v>
      </c>
      <c r="E27" s="235">
        <v>-12.556332024361222</v>
      </c>
      <c r="F27" s="235">
        <v>-17.578864834105708</v>
      </c>
      <c r="G27" s="235">
        <v>-25.112664048722444</v>
      </c>
      <c r="H27" s="235">
        <v>-35.157729668211417</v>
      </c>
      <c r="I27" s="235">
        <v>-45.202795287700383</v>
      </c>
      <c r="J27" s="235">
        <v>-40.180262477955907</v>
      </c>
      <c r="K27" s="235">
        <v>-22.601397643850191</v>
      </c>
      <c r="L27" s="235">
        <v>-15.067598429233463</v>
      </c>
      <c r="M27" s="235">
        <v>-15.067598429233463</v>
      </c>
      <c r="N27" s="235">
        <v>-20.090131238977953</v>
      </c>
      <c r="O27" s="236">
        <v>-286.28437015543585</v>
      </c>
    </row>
    <row r="28" spans="1:15" x14ac:dyDescent="0.2">
      <c r="A28" s="230"/>
      <c r="B28" s="108" t="s">
        <v>26</v>
      </c>
      <c r="C28" s="234">
        <v>-1.0970242781397226</v>
      </c>
      <c r="D28" s="235">
        <v>-0.9598962433722571</v>
      </c>
      <c r="E28" s="235">
        <v>-0.68564017383732656</v>
      </c>
      <c r="F28" s="235">
        <v>-0.9598962433722571</v>
      </c>
      <c r="G28" s="235">
        <v>-1.3712803476746531</v>
      </c>
      <c r="H28" s="235">
        <v>-1.9197924867445142</v>
      </c>
      <c r="I28" s="235">
        <v>-2.4683046258143757</v>
      </c>
      <c r="J28" s="235">
        <v>-2.1940485562794452</v>
      </c>
      <c r="K28" s="235">
        <v>-1.2341523129071879</v>
      </c>
      <c r="L28" s="235">
        <v>-0.82276820860479183</v>
      </c>
      <c r="M28" s="235">
        <v>-0.82276820860479183</v>
      </c>
      <c r="N28" s="235">
        <v>-1.0970242781397226</v>
      </c>
      <c r="O28" s="236">
        <v>-15.632595963491047</v>
      </c>
    </row>
    <row r="29" spans="1:15" x14ac:dyDescent="0.2">
      <c r="A29" s="230"/>
      <c r="B29" s="108" t="s">
        <v>27</v>
      </c>
      <c r="C29" s="234">
        <v>-21.187155517117677</v>
      </c>
      <c r="D29" s="235">
        <v>-18.538761077477965</v>
      </c>
      <c r="E29" s="235">
        <v>-13.241972198198548</v>
      </c>
      <c r="F29" s="235">
        <v>-18.538761077477965</v>
      </c>
      <c r="G29" s="235">
        <v>-26.483944396397096</v>
      </c>
      <c r="H29" s="235">
        <v>-37.077522154955929</v>
      </c>
      <c r="I29" s="235">
        <v>-47.671099913514759</v>
      </c>
      <c r="J29" s="235">
        <v>-42.374311034235355</v>
      </c>
      <c r="K29" s="235">
        <v>-23.835549956757379</v>
      </c>
      <c r="L29" s="235">
        <v>-15.890366637838255</v>
      </c>
      <c r="M29" s="235">
        <v>-15.890366637838255</v>
      </c>
      <c r="N29" s="235">
        <v>-21.187155517117677</v>
      </c>
      <c r="O29" s="236">
        <v>-301.91696611892684</v>
      </c>
    </row>
    <row r="30" spans="1:15" x14ac:dyDescent="0.2">
      <c r="A30" s="230"/>
      <c r="B30" s="108" t="s">
        <v>50</v>
      </c>
      <c r="C30" s="109">
        <v>57.934584406557917</v>
      </c>
      <c r="D30" s="97">
        <v>50.692761355738178</v>
      </c>
      <c r="E30" s="97">
        <v>36.209115254098698</v>
      </c>
      <c r="F30" s="97">
        <v>50.692761355738178</v>
      </c>
      <c r="G30" s="97">
        <v>72.418230508197396</v>
      </c>
      <c r="H30" s="97">
        <v>101.38552271147636</v>
      </c>
      <c r="I30" s="97">
        <v>130.3528149147553</v>
      </c>
      <c r="J30" s="97">
        <v>115.86916881311583</v>
      </c>
      <c r="K30" s="97">
        <v>65.17640745737765</v>
      </c>
      <c r="L30" s="97">
        <v>43.450938304918438</v>
      </c>
      <c r="M30" s="97">
        <v>43.450938304918438</v>
      </c>
      <c r="N30" s="97">
        <v>57.934584406557917</v>
      </c>
      <c r="O30" s="110">
        <v>825.56782779345031</v>
      </c>
    </row>
    <row r="31" spans="1:15" x14ac:dyDescent="0.2">
      <c r="A31" s="230"/>
      <c r="B31" s="108" t="s">
        <v>90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">
      <c r="A32" s="230"/>
      <c r="B32" s="108" t="s">
        <v>92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">
      <c r="A33" s="98" t="s">
        <v>16</v>
      </c>
      <c r="B33" s="98" t="s">
        <v>71</v>
      </c>
      <c r="C33" s="105">
        <v>14.191669937842487</v>
      </c>
      <c r="D33" s="106">
        <v>9.461113291894991</v>
      </c>
      <c r="E33" s="106">
        <v>14.191669937842487</v>
      </c>
      <c r="F33" s="106">
        <v>9.461113291894991</v>
      </c>
      <c r="G33" s="106">
        <v>14.191669937842487</v>
      </c>
      <c r="H33" s="106">
        <v>23.652783229737476</v>
      </c>
      <c r="I33" s="106">
        <v>28.383339875684975</v>
      </c>
      <c r="J33" s="106">
        <v>28.383339875684975</v>
      </c>
      <c r="K33" s="106">
        <v>14.191669937842487</v>
      </c>
      <c r="L33" s="106">
        <v>9.461113291894991</v>
      </c>
      <c r="M33" s="106">
        <v>4.7305566459474955</v>
      </c>
      <c r="N33" s="106">
        <v>18.922226583789982</v>
      </c>
      <c r="O33" s="107">
        <v>189.22226583789984</v>
      </c>
    </row>
    <row r="34" spans="1:15" x14ac:dyDescent="0.2">
      <c r="A34" s="230"/>
      <c r="B34" s="108" t="s">
        <v>25</v>
      </c>
      <c r="C34" s="234">
        <v>-7.5337992146167316</v>
      </c>
      <c r="D34" s="235">
        <v>-5.0225328097444883</v>
      </c>
      <c r="E34" s="235">
        <v>-7.5337992146167316</v>
      </c>
      <c r="F34" s="235">
        <v>-5.0225328097444883</v>
      </c>
      <c r="G34" s="235">
        <v>-7.5337992146167316</v>
      </c>
      <c r="H34" s="235">
        <v>-12.556332024361222</v>
      </c>
      <c r="I34" s="235">
        <v>-15.067598429233463</v>
      </c>
      <c r="J34" s="235">
        <v>-15.067598429233463</v>
      </c>
      <c r="K34" s="235">
        <v>-7.5337992146167316</v>
      </c>
      <c r="L34" s="235">
        <v>-5.0225328097444883</v>
      </c>
      <c r="M34" s="235">
        <v>-2.5112664048722442</v>
      </c>
      <c r="N34" s="235">
        <v>-10.045065619488977</v>
      </c>
      <c r="O34" s="236">
        <v>-100.45065619488977</v>
      </c>
    </row>
    <row r="35" spans="1:15" x14ac:dyDescent="0.2">
      <c r="A35" s="230"/>
      <c r="B35" s="108" t="s">
        <v>26</v>
      </c>
      <c r="C35" s="234">
        <v>-0.41138410430239591</v>
      </c>
      <c r="D35" s="235">
        <v>-0.27425606953493065</v>
      </c>
      <c r="E35" s="235">
        <v>-0.41138410430239591</v>
      </c>
      <c r="F35" s="235">
        <v>-0.27425606953493065</v>
      </c>
      <c r="G35" s="235">
        <v>-0.41138410430239591</v>
      </c>
      <c r="H35" s="235">
        <v>-0.68564017383732656</v>
      </c>
      <c r="I35" s="235">
        <v>-0.82276820860479183</v>
      </c>
      <c r="J35" s="235">
        <v>-0.82276820860479183</v>
      </c>
      <c r="K35" s="235">
        <v>-0.41138410430239591</v>
      </c>
      <c r="L35" s="235">
        <v>-0.27425606953493065</v>
      </c>
      <c r="M35" s="235">
        <v>-0.13712803476746532</v>
      </c>
      <c r="N35" s="235">
        <v>-0.54851213906986129</v>
      </c>
      <c r="O35" s="236">
        <v>-5.4851213906986125</v>
      </c>
    </row>
    <row r="36" spans="1:15" x14ac:dyDescent="0.2">
      <c r="A36" s="230"/>
      <c r="B36" s="108" t="s">
        <v>27</v>
      </c>
      <c r="C36" s="234">
        <v>-7.9451833189191277</v>
      </c>
      <c r="D36" s="235">
        <v>-5.2967888792794193</v>
      </c>
      <c r="E36" s="235">
        <v>-7.9451833189191277</v>
      </c>
      <c r="F36" s="235">
        <v>-5.2967888792794193</v>
      </c>
      <c r="G36" s="235">
        <v>-7.9451833189191277</v>
      </c>
      <c r="H36" s="235">
        <v>-13.241972198198548</v>
      </c>
      <c r="I36" s="235">
        <v>-15.890366637838255</v>
      </c>
      <c r="J36" s="235">
        <v>-15.890366637838255</v>
      </c>
      <c r="K36" s="235">
        <v>-7.9451833189191277</v>
      </c>
      <c r="L36" s="235">
        <v>-5.2967888792794193</v>
      </c>
      <c r="M36" s="235">
        <v>-2.6483944396397097</v>
      </c>
      <c r="N36" s="235">
        <v>-10.593577758558839</v>
      </c>
      <c r="O36" s="236">
        <v>-105.93577758558837</v>
      </c>
    </row>
    <row r="37" spans="1:15" x14ac:dyDescent="0.2">
      <c r="A37" s="230"/>
      <c r="B37" s="108" t="s">
        <v>50</v>
      </c>
      <c r="C37" s="109">
        <v>21.725469152459219</v>
      </c>
      <c r="D37" s="97">
        <v>14.483646101639479</v>
      </c>
      <c r="E37" s="97">
        <v>21.725469152459219</v>
      </c>
      <c r="F37" s="97">
        <v>14.483646101639479</v>
      </c>
      <c r="G37" s="97">
        <v>21.725469152459219</v>
      </c>
      <c r="H37" s="97">
        <v>36.209115254098698</v>
      </c>
      <c r="I37" s="97">
        <v>43.450938304918438</v>
      </c>
      <c r="J37" s="97">
        <v>43.450938304918438</v>
      </c>
      <c r="K37" s="97">
        <v>21.725469152459219</v>
      </c>
      <c r="L37" s="97">
        <v>14.483646101639479</v>
      </c>
      <c r="M37" s="97">
        <v>7.2418230508197396</v>
      </c>
      <c r="N37" s="97">
        <v>28.967292203278959</v>
      </c>
      <c r="O37" s="110">
        <v>289.67292203278964</v>
      </c>
    </row>
    <row r="38" spans="1:15" x14ac:dyDescent="0.2">
      <c r="A38" s="230"/>
      <c r="B38" s="108" t="s">
        <v>90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">
      <c r="A39" s="230"/>
      <c r="B39" s="108" t="s">
        <v>92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">
      <c r="A40" s="98" t="s">
        <v>19</v>
      </c>
      <c r="B40" s="98" t="s">
        <v>71</v>
      </c>
      <c r="C40" s="105">
        <v>198.68337912979482</v>
      </c>
      <c r="D40" s="106">
        <v>203.41393577574232</v>
      </c>
      <c r="E40" s="106">
        <v>198.68337912979482</v>
      </c>
      <c r="F40" s="106">
        <v>245.98894558926978</v>
      </c>
      <c r="G40" s="106">
        <v>245.98894558926978</v>
      </c>
      <c r="H40" s="106">
        <v>264.91117217305975</v>
      </c>
      <c r="I40" s="106">
        <v>274.37228546495476</v>
      </c>
      <c r="J40" s="106">
        <v>283.8333987568497</v>
      </c>
      <c r="K40" s="106">
        <v>274.37228546495476</v>
      </c>
      <c r="L40" s="106">
        <v>264.91117217305975</v>
      </c>
      <c r="M40" s="106">
        <v>279.10284211090226</v>
      </c>
      <c r="N40" s="106">
        <v>274.37228546495476</v>
      </c>
      <c r="O40" s="107">
        <v>3008.6340268226077</v>
      </c>
    </row>
    <row r="41" spans="1:15" x14ac:dyDescent="0.2">
      <c r="A41" s="230"/>
      <c r="B41" s="108" t="s">
        <v>25</v>
      </c>
      <c r="C41" s="234">
        <v>-105.47318900463424</v>
      </c>
      <c r="D41" s="235">
        <v>-107.98445540950647</v>
      </c>
      <c r="E41" s="235">
        <v>-105.47318900463424</v>
      </c>
      <c r="F41" s="235">
        <v>-130.58585305335666</v>
      </c>
      <c r="G41" s="235">
        <v>-130.58585305335666</v>
      </c>
      <c r="H41" s="235">
        <v>-140.63091867284567</v>
      </c>
      <c r="I41" s="235">
        <v>-145.65345148259013</v>
      </c>
      <c r="J41" s="235">
        <v>-150.6759842923347</v>
      </c>
      <c r="K41" s="235">
        <v>-145.65345148259013</v>
      </c>
      <c r="L41" s="235">
        <v>-140.63091867284567</v>
      </c>
      <c r="M41" s="235">
        <v>-148.16471788746236</v>
      </c>
      <c r="N41" s="235">
        <v>-145.65345148259013</v>
      </c>
      <c r="O41" s="236">
        <v>-1597.1654334987468</v>
      </c>
    </row>
    <row r="42" spans="1:15" x14ac:dyDescent="0.2">
      <c r="A42" s="230"/>
      <c r="B42" s="108" t="s">
        <v>26</v>
      </c>
      <c r="C42" s="234">
        <v>-5.7593774602335435</v>
      </c>
      <c r="D42" s="235">
        <v>-5.8965054950010085</v>
      </c>
      <c r="E42" s="235">
        <v>-5.7593774602335435</v>
      </c>
      <c r="F42" s="235">
        <v>-7.1306578079081957</v>
      </c>
      <c r="G42" s="235">
        <v>-7.1306578079081957</v>
      </c>
      <c r="H42" s="235">
        <v>-7.6791699469780568</v>
      </c>
      <c r="I42" s="235">
        <v>-7.9534260165129886</v>
      </c>
      <c r="J42" s="235">
        <v>-8.2276820860479187</v>
      </c>
      <c r="K42" s="235">
        <v>-7.9534260165129886</v>
      </c>
      <c r="L42" s="235">
        <v>-7.6791699469780568</v>
      </c>
      <c r="M42" s="235">
        <v>-8.0905540512804546</v>
      </c>
      <c r="N42" s="235">
        <v>-7.9534260165129886</v>
      </c>
      <c r="O42" s="236">
        <v>-87.213430112107957</v>
      </c>
    </row>
    <row r="43" spans="1:15" x14ac:dyDescent="0.2">
      <c r="A43" s="230"/>
      <c r="B43" s="108" t="s">
        <v>27</v>
      </c>
      <c r="C43" s="234">
        <v>-111.23256646486777</v>
      </c>
      <c r="D43" s="235">
        <v>-113.88096090450748</v>
      </c>
      <c r="E43" s="235">
        <v>-111.23256646486777</v>
      </c>
      <c r="F43" s="235">
        <v>-137.71651086126485</v>
      </c>
      <c r="G43" s="235">
        <v>-137.71651086126485</v>
      </c>
      <c r="H43" s="235">
        <v>-148.31008861982372</v>
      </c>
      <c r="I43" s="235">
        <v>-153.60687749910312</v>
      </c>
      <c r="J43" s="235">
        <v>-158.90366637838261</v>
      </c>
      <c r="K43" s="235">
        <v>-153.60687749910312</v>
      </c>
      <c r="L43" s="235">
        <v>-148.31008861982372</v>
      </c>
      <c r="M43" s="235">
        <v>-156.25527193874282</v>
      </c>
      <c r="N43" s="235">
        <v>-153.60687749910312</v>
      </c>
      <c r="O43" s="236">
        <v>-1684.3788636108552</v>
      </c>
    </row>
    <row r="44" spans="1:15" x14ac:dyDescent="0.2">
      <c r="A44" s="230"/>
      <c r="B44" s="108" t="s">
        <v>50</v>
      </c>
      <c r="C44" s="109">
        <v>304.15656813442905</v>
      </c>
      <c r="D44" s="97">
        <v>311.39839118524878</v>
      </c>
      <c r="E44" s="97">
        <v>304.15656813442905</v>
      </c>
      <c r="F44" s="97">
        <v>376.57479864262643</v>
      </c>
      <c r="G44" s="97">
        <v>376.57479864262643</v>
      </c>
      <c r="H44" s="97">
        <v>405.54209084590542</v>
      </c>
      <c r="I44" s="97">
        <v>420.02573694754489</v>
      </c>
      <c r="J44" s="97">
        <v>434.50938304918441</v>
      </c>
      <c r="K44" s="97">
        <v>420.02573694754489</v>
      </c>
      <c r="L44" s="97">
        <v>405.54209084590542</v>
      </c>
      <c r="M44" s="97">
        <v>427.26755999836462</v>
      </c>
      <c r="N44" s="97">
        <v>420.02573694754489</v>
      </c>
      <c r="O44" s="110">
        <v>4605.7994603213547</v>
      </c>
    </row>
    <row r="45" spans="1:15" x14ac:dyDescent="0.2">
      <c r="A45" s="230"/>
      <c r="B45" s="108" t="s">
        <v>90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">
      <c r="A46" s="230"/>
      <c r="B46" s="108" t="s">
        <v>92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">
      <c r="A47" s="98" t="s">
        <v>8</v>
      </c>
      <c r="B47" s="98" t="s">
        <v>71</v>
      </c>
      <c r="C47" s="105">
        <v>435.21121142716959</v>
      </c>
      <c r="D47" s="106">
        <v>416.28898484337958</v>
      </c>
      <c r="E47" s="106">
        <v>335.86952186227217</v>
      </c>
      <c r="F47" s="106">
        <v>359.52230509200967</v>
      </c>
      <c r="G47" s="106">
        <v>633.89459055696443</v>
      </c>
      <c r="H47" s="106">
        <v>685.93071366238689</v>
      </c>
      <c r="I47" s="106">
        <v>761.61961999754681</v>
      </c>
      <c r="J47" s="106">
        <v>728.50572347591435</v>
      </c>
      <c r="K47" s="106">
        <v>624.43347726506943</v>
      </c>
      <c r="L47" s="106">
        <v>430.48065478122209</v>
      </c>
      <c r="M47" s="106">
        <v>316.94729527848222</v>
      </c>
      <c r="N47" s="106">
        <v>454.13343801095959</v>
      </c>
      <c r="O47" s="107">
        <v>6182.8375362533761</v>
      </c>
    </row>
    <row r="48" spans="1:15" x14ac:dyDescent="0.2">
      <c r="A48" s="230"/>
      <c r="B48" s="108" t="s">
        <v>25</v>
      </c>
      <c r="C48" s="234">
        <v>-231.03650924824649</v>
      </c>
      <c r="D48" s="235">
        <v>-220.99144362875757</v>
      </c>
      <c r="E48" s="235">
        <v>-178.29991474592936</v>
      </c>
      <c r="F48" s="235">
        <v>-190.85624677029057</v>
      </c>
      <c r="G48" s="235">
        <v>-336.50969825288064</v>
      </c>
      <c r="H48" s="235">
        <v>-364.13362870647541</v>
      </c>
      <c r="I48" s="235">
        <v>-404.31389118443121</v>
      </c>
      <c r="J48" s="235">
        <v>-386.73502635032548</v>
      </c>
      <c r="K48" s="235">
        <v>-331.48716544313618</v>
      </c>
      <c r="L48" s="235">
        <v>-228.5252428433742</v>
      </c>
      <c r="M48" s="235">
        <v>-168.25484912644032</v>
      </c>
      <c r="N48" s="235">
        <v>-241.08157486773541</v>
      </c>
      <c r="O48" s="236">
        <v>-3282.2251911680228</v>
      </c>
    </row>
    <row r="49" spans="1:15" x14ac:dyDescent="0.2">
      <c r="A49" s="230"/>
      <c r="B49" s="108" t="s">
        <v>26</v>
      </c>
      <c r="C49" s="234">
        <v>-12.615779198606809</v>
      </c>
      <c r="D49" s="235">
        <v>-12.067267059536947</v>
      </c>
      <c r="E49" s="235">
        <v>-9.7360904684900369</v>
      </c>
      <c r="F49" s="235">
        <v>-10.421730642327365</v>
      </c>
      <c r="G49" s="235">
        <v>-18.375156658840353</v>
      </c>
      <c r="H49" s="235">
        <v>-19.88356504128247</v>
      </c>
      <c r="I49" s="235">
        <v>-22.077613597561914</v>
      </c>
      <c r="J49" s="235">
        <v>-21.117717354189658</v>
      </c>
      <c r="K49" s="235">
        <v>-18.100900589305422</v>
      </c>
      <c r="L49" s="235">
        <v>-12.478651163839343</v>
      </c>
      <c r="M49" s="235">
        <v>-9.1875783294201767</v>
      </c>
      <c r="N49" s="235">
        <v>-13.164291337676669</v>
      </c>
      <c r="O49" s="236">
        <v>-179.22634144107715</v>
      </c>
    </row>
    <row r="50" spans="1:15" x14ac:dyDescent="0.2">
      <c r="A50" s="230"/>
      <c r="B50" s="108" t="s">
        <v>27</v>
      </c>
      <c r="C50" s="234">
        <v>-243.65228844685331</v>
      </c>
      <c r="D50" s="235">
        <v>-233.05871068829452</v>
      </c>
      <c r="E50" s="235">
        <v>-188.03600521441939</v>
      </c>
      <c r="F50" s="235">
        <v>-201.27797741261793</v>
      </c>
      <c r="G50" s="235">
        <v>-354.88485491172099</v>
      </c>
      <c r="H50" s="235">
        <v>-384.01719374775786</v>
      </c>
      <c r="I50" s="235">
        <v>-426.39150478199315</v>
      </c>
      <c r="J50" s="235">
        <v>-407.85274370451515</v>
      </c>
      <c r="K50" s="235">
        <v>-349.58806603244159</v>
      </c>
      <c r="L50" s="235">
        <v>-241.00389400721355</v>
      </c>
      <c r="M50" s="235">
        <v>-177.4424274558605</v>
      </c>
      <c r="N50" s="235">
        <v>-254.24586620541209</v>
      </c>
      <c r="O50" s="236">
        <v>-3461.4515326090996</v>
      </c>
    </row>
    <row r="51" spans="1:15" x14ac:dyDescent="0.2">
      <c r="A51" s="230"/>
      <c r="B51" s="108" t="s">
        <v>50</v>
      </c>
      <c r="C51" s="109">
        <v>666.24772067541608</v>
      </c>
      <c r="D51" s="97">
        <v>637.28042847213715</v>
      </c>
      <c r="E51" s="97">
        <v>514.16943660820152</v>
      </c>
      <c r="F51" s="97">
        <v>550.37855186230024</v>
      </c>
      <c r="G51" s="97">
        <v>970.40428880984507</v>
      </c>
      <c r="H51" s="97">
        <v>1050.0643423688623</v>
      </c>
      <c r="I51" s="97">
        <v>1165.933511181978</v>
      </c>
      <c r="J51" s="97">
        <v>1115.2407498262398</v>
      </c>
      <c r="K51" s="97">
        <v>955.92064270820561</v>
      </c>
      <c r="L51" s="97">
        <v>659.00589762459629</v>
      </c>
      <c r="M51" s="97">
        <v>485.20214440492254</v>
      </c>
      <c r="N51" s="97">
        <v>695.21501287869501</v>
      </c>
      <c r="O51" s="110">
        <v>9465.0627274213984</v>
      </c>
    </row>
    <row r="52" spans="1:15" x14ac:dyDescent="0.2">
      <c r="A52" s="230"/>
      <c r="B52" s="108" t="s">
        <v>90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">
      <c r="A53" s="230"/>
      <c r="B53" s="108" t="s">
        <v>92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">
      <c r="A54" s="98" t="s">
        <v>21</v>
      </c>
      <c r="B54" s="98" t="s">
        <v>71</v>
      </c>
      <c r="C54" s="105">
        <v>13713.883716601789</v>
      </c>
      <c r="D54" s="106">
        <v>13051.605786169141</v>
      </c>
      <c r="E54" s="106">
        <v>11589.863782571363</v>
      </c>
      <c r="F54" s="106">
        <v>11329.683167044252</v>
      </c>
      <c r="G54" s="106">
        <v>16471.798241189179</v>
      </c>
      <c r="H54" s="106">
        <v>18950.609923665666</v>
      </c>
      <c r="I54" s="106">
        <v>20010.254612357905</v>
      </c>
      <c r="J54" s="106">
        <v>19636.540637328053</v>
      </c>
      <c r="K54" s="106">
        <v>18439.709805903338</v>
      </c>
      <c r="L54" s="106">
        <v>13056.336342815088</v>
      </c>
      <c r="M54" s="106">
        <v>12114.955570271535</v>
      </c>
      <c r="N54" s="106">
        <v>14901.25343473461</v>
      </c>
      <c r="O54" s="107">
        <v>183266.49502065193</v>
      </c>
    </row>
    <row r="55" spans="1:15" x14ac:dyDescent="0.2">
      <c r="A55" s="230"/>
      <c r="B55" s="108" t="s">
        <v>25</v>
      </c>
      <c r="C55" s="234">
        <v>-7280.1613077246348</v>
      </c>
      <c r="D55" s="235">
        <v>-6928.5840110425197</v>
      </c>
      <c r="E55" s="235">
        <v>-6152.6026919369979</v>
      </c>
      <c r="F55" s="235">
        <v>-6014.4830396690231</v>
      </c>
      <c r="G55" s="235">
        <v>-8744.2296217651528</v>
      </c>
      <c r="H55" s="235">
        <v>-10060.13321791821</v>
      </c>
      <c r="I55" s="235">
        <v>-10622.656892609593</v>
      </c>
      <c r="J55" s="235">
        <v>-10424.266846624687</v>
      </c>
      <c r="K55" s="235">
        <v>-9788.9164461920082</v>
      </c>
      <c r="L55" s="235">
        <v>-6931.0952774473953</v>
      </c>
      <c r="M55" s="235">
        <v>-6431.3532628778175</v>
      </c>
      <c r="N55" s="235">
        <v>-7910.4891753475695</v>
      </c>
      <c r="O55" s="236">
        <v>-97288.971791155622</v>
      </c>
    </row>
    <row r="56" spans="1:15" x14ac:dyDescent="0.2">
      <c r="A56" s="230"/>
      <c r="B56" s="108" t="s">
        <v>26</v>
      </c>
      <c r="C56" s="234">
        <v>-397.53417279088194</v>
      </c>
      <c r="D56" s="235">
        <v>-378.33624792343676</v>
      </c>
      <c r="E56" s="235">
        <v>-335.96368518028999</v>
      </c>
      <c r="F56" s="235">
        <v>-328.42164326807938</v>
      </c>
      <c r="G56" s="235">
        <v>-477.47981706031425</v>
      </c>
      <c r="H56" s="235">
        <v>-549.33490727846606</v>
      </c>
      <c r="I56" s="235">
        <v>-580.05158706637826</v>
      </c>
      <c r="J56" s="235">
        <v>-569.21847231974846</v>
      </c>
      <c r="K56" s="235">
        <v>-534.52507952357985</v>
      </c>
      <c r="L56" s="235">
        <v>-378.47337595820426</v>
      </c>
      <c r="M56" s="235">
        <v>-351.18489703947864</v>
      </c>
      <c r="N56" s="235">
        <v>-431.95330951751572</v>
      </c>
      <c r="O56" s="236">
        <v>-5312.4771949263732</v>
      </c>
    </row>
    <row r="57" spans="1:15" x14ac:dyDescent="0.2">
      <c r="A57" s="230"/>
      <c r="B57" s="108" t="s">
        <v>27</v>
      </c>
      <c r="C57" s="234">
        <v>-7677.6954805155165</v>
      </c>
      <c r="D57" s="235">
        <v>-7306.9202589659562</v>
      </c>
      <c r="E57" s="235">
        <v>-6488.5663771172876</v>
      </c>
      <c r="F57" s="235">
        <v>-6342.9046829371027</v>
      </c>
      <c r="G57" s="235">
        <v>-9221.7094388254663</v>
      </c>
      <c r="H57" s="235">
        <v>-10609.468125196676</v>
      </c>
      <c r="I57" s="235">
        <v>-11202.708479675972</v>
      </c>
      <c r="J57" s="235">
        <v>-10993.485318944435</v>
      </c>
      <c r="K57" s="235">
        <v>-10323.441525715589</v>
      </c>
      <c r="L57" s="235">
        <v>-7309.5686534055994</v>
      </c>
      <c r="M57" s="235">
        <v>-6782.5381599172961</v>
      </c>
      <c r="N57" s="235">
        <v>-8342.4424848650851</v>
      </c>
      <c r="O57" s="236">
        <v>-102601.44898608199</v>
      </c>
    </row>
    <row r="58" spans="1:15" x14ac:dyDescent="0.2">
      <c r="A58" s="230"/>
      <c r="B58" s="108" t="s">
        <v>50</v>
      </c>
      <c r="C58" s="109">
        <v>20994.045024326424</v>
      </c>
      <c r="D58" s="97">
        <v>19980.18979721166</v>
      </c>
      <c r="E58" s="97">
        <v>17742.466474508361</v>
      </c>
      <c r="F58" s="97">
        <v>17344.166206713275</v>
      </c>
      <c r="G58" s="97">
        <v>25216.027862954332</v>
      </c>
      <c r="H58" s="97">
        <v>29010.743141583876</v>
      </c>
      <c r="I58" s="97">
        <v>30632.911504967498</v>
      </c>
      <c r="J58" s="97">
        <v>30060.80748395274</v>
      </c>
      <c r="K58" s="97">
        <v>28228.626252095346</v>
      </c>
      <c r="L58" s="97">
        <v>19987.431620262483</v>
      </c>
      <c r="M58" s="97">
        <v>18546.308833149353</v>
      </c>
      <c r="N58" s="97">
        <v>22811.742610082179</v>
      </c>
      <c r="O58" s="110">
        <v>280555.46681180754</v>
      </c>
    </row>
    <row r="59" spans="1:15" x14ac:dyDescent="0.2">
      <c r="A59" s="230"/>
      <c r="B59" s="108" t="s">
        <v>90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">
      <c r="A60" s="230"/>
      <c r="B60" s="108" t="s">
        <v>92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">
      <c r="A61" s="98" t="s">
        <v>22</v>
      </c>
      <c r="B61" s="98" t="s">
        <v>71</v>
      </c>
      <c r="C61" s="105">
        <v>13817.955962812634</v>
      </c>
      <c r="D61" s="106">
        <v>13496.278110888205</v>
      </c>
      <c r="E61" s="106">
        <v>12110.225013625588</v>
      </c>
      <c r="F61" s="106">
        <v>11514.174876236204</v>
      </c>
      <c r="G61" s="106">
        <v>14745.145065418343</v>
      </c>
      <c r="H61" s="106">
        <v>16727.248300070343</v>
      </c>
      <c r="I61" s="106">
        <v>17484.137363421942</v>
      </c>
      <c r="J61" s="106">
        <v>17181.381738081305</v>
      </c>
      <c r="K61" s="106">
        <v>15785.867527526792</v>
      </c>
      <c r="L61" s="106">
        <v>11807.469388284948</v>
      </c>
      <c r="M61" s="106">
        <v>11911.541634495794</v>
      </c>
      <c r="N61" s="106">
        <v>16079.162039575536</v>
      </c>
      <c r="O61" s="107">
        <v>172660.58702043767</v>
      </c>
    </row>
    <row r="62" spans="1:15" x14ac:dyDescent="0.2">
      <c r="A62" s="230"/>
      <c r="B62" s="108" t="s">
        <v>25</v>
      </c>
      <c r="C62" s="234">
        <v>-7335.4091686318243</v>
      </c>
      <c r="D62" s="235">
        <v>-7164.6430531005135</v>
      </c>
      <c r="E62" s="235">
        <v>-6428.8419964729455</v>
      </c>
      <c r="F62" s="235">
        <v>-6112.4224294590422</v>
      </c>
      <c r="G62" s="235">
        <v>-7827.6173839867843</v>
      </c>
      <c r="H62" s="235">
        <v>-8879.8380076282556</v>
      </c>
      <c r="I62" s="235">
        <v>-9281.6406324078162</v>
      </c>
      <c r="J62" s="235">
        <v>-9120.9195824959897</v>
      </c>
      <c r="K62" s="235">
        <v>-8380.0959930586796</v>
      </c>
      <c r="L62" s="235">
        <v>-6268.1209465611228</v>
      </c>
      <c r="M62" s="235">
        <v>-6323.3688074683105</v>
      </c>
      <c r="N62" s="235">
        <v>-8535.7945101607602</v>
      </c>
      <c r="O62" s="236">
        <v>-91658.712511432052</v>
      </c>
    </row>
    <row r="63" spans="1:15" x14ac:dyDescent="0.2">
      <c r="A63" s="230"/>
      <c r="B63" s="108" t="s">
        <v>26</v>
      </c>
      <c r="C63" s="234">
        <v>-400.55098955576619</v>
      </c>
      <c r="D63" s="235">
        <v>-391.22628319157855</v>
      </c>
      <c r="E63" s="235">
        <v>-351.0477690047112</v>
      </c>
      <c r="F63" s="235">
        <v>-333.76963662401056</v>
      </c>
      <c r="G63" s="235">
        <v>-427.42808437018937</v>
      </c>
      <c r="H63" s="235">
        <v>-484.88473093775735</v>
      </c>
      <c r="I63" s="235">
        <v>-506.82521650055185</v>
      </c>
      <c r="J63" s="235">
        <v>-498.04902227543403</v>
      </c>
      <c r="K63" s="235">
        <v>-457.59625201903174</v>
      </c>
      <c r="L63" s="235">
        <v>-342.27157477959338</v>
      </c>
      <c r="M63" s="235">
        <v>-345.28839154447763</v>
      </c>
      <c r="N63" s="235">
        <v>-466.09819017461456</v>
      </c>
      <c r="O63" s="236">
        <v>-5005.0361409777161</v>
      </c>
    </row>
    <row r="64" spans="1:15" x14ac:dyDescent="0.2">
      <c r="A64" s="230"/>
      <c r="B64" s="108" t="s">
        <v>27</v>
      </c>
      <c r="C64" s="234">
        <v>-7735.9601581875904</v>
      </c>
      <c r="D64" s="235">
        <v>-7555.8693362920922</v>
      </c>
      <c r="E64" s="235">
        <v>-6779.8897654776565</v>
      </c>
      <c r="F64" s="235">
        <v>-6446.1920660830529</v>
      </c>
      <c r="G64" s="235">
        <v>-8255.0454683569733</v>
      </c>
      <c r="H64" s="235">
        <v>-9364.7227385660135</v>
      </c>
      <c r="I64" s="235">
        <v>-9788.4658489083686</v>
      </c>
      <c r="J64" s="235">
        <v>-9618.968604771424</v>
      </c>
      <c r="K64" s="235">
        <v>-8837.692245077711</v>
      </c>
      <c r="L64" s="235">
        <v>-6610.3925213407165</v>
      </c>
      <c r="M64" s="235">
        <v>-6668.6571990127877</v>
      </c>
      <c r="N64" s="235">
        <v>-9001.8927003353747</v>
      </c>
      <c r="O64" s="236">
        <v>-96663.748652409762</v>
      </c>
    </row>
    <row r="65" spans="1:15" x14ac:dyDescent="0.2">
      <c r="A65" s="230"/>
      <c r="B65" s="108" t="s">
        <v>50</v>
      </c>
      <c r="C65" s="109">
        <v>21153.365131444458</v>
      </c>
      <c r="D65" s="97">
        <v>20660.921163988718</v>
      </c>
      <c r="E65" s="97">
        <v>18539.067010098534</v>
      </c>
      <c r="F65" s="97">
        <v>17626.597305695246</v>
      </c>
      <c r="G65" s="97">
        <v>22572.762449405127</v>
      </c>
      <c r="H65" s="97">
        <v>25607.086307698599</v>
      </c>
      <c r="I65" s="97">
        <v>26765.777995829758</v>
      </c>
      <c r="J65" s="97">
        <v>26302.301320577295</v>
      </c>
      <c r="K65" s="97">
        <v>24165.963520585472</v>
      </c>
      <c r="L65" s="97">
        <v>18075.590334846071</v>
      </c>
      <c r="M65" s="97">
        <v>18234.910441964104</v>
      </c>
      <c r="N65" s="97">
        <v>24614.956549736296</v>
      </c>
      <c r="O65" s="110">
        <v>264319.29953186971</v>
      </c>
    </row>
    <row r="66" spans="1:15" x14ac:dyDescent="0.2">
      <c r="A66" s="230"/>
      <c r="B66" s="108" t="s">
        <v>90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">
      <c r="A67" s="230"/>
      <c r="B67" s="108" t="s">
        <v>92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">
      <c r="A68" s="98" t="s">
        <v>9</v>
      </c>
      <c r="B68" s="98" t="s">
        <v>71</v>
      </c>
      <c r="C68" s="105">
        <v>236.52783229737477</v>
      </c>
      <c r="D68" s="106">
        <v>231.79727565142727</v>
      </c>
      <c r="E68" s="106">
        <v>212.87504906763729</v>
      </c>
      <c r="F68" s="106">
        <v>160.83892596221486</v>
      </c>
      <c r="G68" s="106">
        <v>198.68337912979482</v>
      </c>
      <c r="H68" s="106">
        <v>231.79727565142727</v>
      </c>
      <c r="I68" s="106">
        <v>255.45005888116475</v>
      </c>
      <c r="J68" s="106">
        <v>222.3361623595323</v>
      </c>
      <c r="K68" s="106">
        <v>222.3361623595323</v>
      </c>
      <c r="L68" s="106">
        <v>184.49170919195231</v>
      </c>
      <c r="M68" s="106">
        <v>212.87504906763729</v>
      </c>
      <c r="N68" s="106">
        <v>288.56395540279721</v>
      </c>
      <c r="O68" s="107">
        <v>2658.5728350224922</v>
      </c>
    </row>
    <row r="69" spans="1:15" x14ac:dyDescent="0.2">
      <c r="A69" s="230"/>
      <c r="B69" s="108" t="s">
        <v>25</v>
      </c>
      <c r="C69" s="234">
        <v>-125.5633202436122</v>
      </c>
      <c r="D69" s="235">
        <v>-123.05205383873997</v>
      </c>
      <c r="E69" s="235">
        <v>-113.00698821925101</v>
      </c>
      <c r="F69" s="235">
        <v>-85.383057765656275</v>
      </c>
      <c r="G69" s="235">
        <v>-105.47318900463424</v>
      </c>
      <c r="H69" s="235">
        <v>-123.05205383873997</v>
      </c>
      <c r="I69" s="235">
        <v>-135.6083858631012</v>
      </c>
      <c r="J69" s="235">
        <v>-118.02952102899548</v>
      </c>
      <c r="K69" s="235">
        <v>-118.02952102899548</v>
      </c>
      <c r="L69" s="235">
        <v>-97.939389790017543</v>
      </c>
      <c r="M69" s="235">
        <v>-113.00698821925101</v>
      </c>
      <c r="N69" s="235">
        <v>-153.18725069720693</v>
      </c>
      <c r="O69" s="236">
        <v>-1411.3317195382015</v>
      </c>
    </row>
    <row r="70" spans="1:15" x14ac:dyDescent="0.2">
      <c r="A70" s="230"/>
      <c r="B70" s="108" t="s">
        <v>26</v>
      </c>
      <c r="C70" s="234">
        <v>-6.8564017383732656</v>
      </c>
      <c r="D70" s="235">
        <v>-6.7192737036058006</v>
      </c>
      <c r="E70" s="235">
        <v>-6.1707615645359395</v>
      </c>
      <c r="F70" s="235">
        <v>-4.6623531820938213</v>
      </c>
      <c r="G70" s="235">
        <v>-5.7593774602335435</v>
      </c>
      <c r="H70" s="235">
        <v>-6.7192737036058006</v>
      </c>
      <c r="I70" s="235">
        <v>-7.4049138774431276</v>
      </c>
      <c r="J70" s="235">
        <v>-6.4450176340708696</v>
      </c>
      <c r="K70" s="235">
        <v>-6.4450176340708696</v>
      </c>
      <c r="L70" s="235">
        <v>-5.3479933559311466</v>
      </c>
      <c r="M70" s="235">
        <v>-6.1707615645359395</v>
      </c>
      <c r="N70" s="235">
        <v>-8.3648101208153829</v>
      </c>
      <c r="O70" s="236">
        <v>-77.06595553931551</v>
      </c>
    </row>
    <row r="71" spans="1:15" x14ac:dyDescent="0.2">
      <c r="A71" s="230"/>
      <c r="B71" s="108" t="s">
        <v>27</v>
      </c>
      <c r="C71" s="234">
        <v>-132.41972198198548</v>
      </c>
      <c r="D71" s="235">
        <v>-129.77132754234577</v>
      </c>
      <c r="E71" s="235">
        <v>-119.17774978378695</v>
      </c>
      <c r="F71" s="235">
        <v>-90.045410947750099</v>
      </c>
      <c r="G71" s="235">
        <v>-111.23256646486777</v>
      </c>
      <c r="H71" s="235">
        <v>-129.77132754234577</v>
      </c>
      <c r="I71" s="235">
        <v>-143.01329974054434</v>
      </c>
      <c r="J71" s="235">
        <v>-124.47453866306634</v>
      </c>
      <c r="K71" s="235">
        <v>-124.47453866306634</v>
      </c>
      <c r="L71" s="235">
        <v>-103.2873831459487</v>
      </c>
      <c r="M71" s="235">
        <v>-119.17774978378695</v>
      </c>
      <c r="N71" s="235">
        <v>-161.55206081802231</v>
      </c>
      <c r="O71" s="236">
        <v>-1488.3976750775169</v>
      </c>
    </row>
    <row r="72" spans="1:15" x14ac:dyDescent="0.2">
      <c r="A72" s="230"/>
      <c r="B72" s="108" t="s">
        <v>50</v>
      </c>
      <c r="C72" s="109">
        <v>362.09115254098697</v>
      </c>
      <c r="D72" s="97">
        <v>354.84932949016724</v>
      </c>
      <c r="E72" s="97">
        <v>325.88203728688831</v>
      </c>
      <c r="F72" s="97">
        <v>246.22198372787113</v>
      </c>
      <c r="G72" s="97">
        <v>304.15656813442905</v>
      </c>
      <c r="H72" s="97">
        <v>354.84932949016724</v>
      </c>
      <c r="I72" s="97">
        <v>391.05844474426596</v>
      </c>
      <c r="J72" s="97">
        <v>340.36568338852777</v>
      </c>
      <c r="K72" s="97">
        <v>340.36568338852777</v>
      </c>
      <c r="L72" s="97">
        <v>282.43109898196985</v>
      </c>
      <c r="M72" s="97">
        <v>325.88203728688831</v>
      </c>
      <c r="N72" s="97">
        <v>441.75120610000414</v>
      </c>
      <c r="O72" s="110">
        <v>4069.9045545606946</v>
      </c>
    </row>
    <row r="73" spans="1:15" x14ac:dyDescent="0.2">
      <c r="A73" s="230"/>
      <c r="B73" s="108" t="s">
        <v>90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">
      <c r="A74" s="230"/>
      <c r="B74" s="108" t="s">
        <v>92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">
      <c r="A75" s="98" t="s">
        <v>55</v>
      </c>
      <c r="B75" s="98" t="s">
        <v>71</v>
      </c>
      <c r="C75" s="105">
        <v>572.39735415964697</v>
      </c>
      <c r="D75" s="106">
        <v>515.63067440827706</v>
      </c>
      <c r="E75" s="106">
        <v>449.40288136501209</v>
      </c>
      <c r="F75" s="106">
        <v>439.94176807311709</v>
      </c>
      <c r="G75" s="106">
        <v>591.31958074343697</v>
      </c>
      <c r="H75" s="106">
        <v>752.1585067056518</v>
      </c>
      <c r="I75" s="106">
        <v>832.57796968675916</v>
      </c>
      <c r="J75" s="106">
        <v>790.0029598732317</v>
      </c>
      <c r="K75" s="106">
        <v>723.77516682996679</v>
      </c>
      <c r="L75" s="106">
        <v>491.97789117853955</v>
      </c>
      <c r="M75" s="106">
        <v>491.97789117853955</v>
      </c>
      <c r="N75" s="106">
        <v>657.54737378670188</v>
      </c>
      <c r="O75" s="107">
        <v>7308.7100179888803</v>
      </c>
    </row>
    <row r="76" spans="1:15" x14ac:dyDescent="0.2">
      <c r="A76" s="230"/>
      <c r="B76" s="108" t="s">
        <v>25</v>
      </c>
      <c r="C76" s="109">
        <v>-303.86323498954152</v>
      </c>
      <c r="D76" s="97">
        <v>-273.72803813107453</v>
      </c>
      <c r="E76" s="97">
        <v>-238.57030846286312</v>
      </c>
      <c r="F76" s="97">
        <v>-233.54777565311866</v>
      </c>
      <c r="G76" s="97">
        <v>-313.90830060903045</v>
      </c>
      <c r="H76" s="97">
        <v>-399.29135837468687</v>
      </c>
      <c r="I76" s="97">
        <v>-441.98288725751513</v>
      </c>
      <c r="J76" s="97">
        <v>-419.38148961366483</v>
      </c>
      <c r="K76" s="97">
        <v>-384.22375994545337</v>
      </c>
      <c r="L76" s="97">
        <v>-261.17170610671332</v>
      </c>
      <c r="M76" s="97">
        <v>-261.17170610671332</v>
      </c>
      <c r="N76" s="97">
        <v>-349.06603027724191</v>
      </c>
      <c r="O76" s="110">
        <v>-3879.9065955276164</v>
      </c>
    </row>
    <row r="77" spans="1:15" x14ac:dyDescent="0.2">
      <c r="A77" s="230"/>
      <c r="B77" s="108" t="s">
        <v>26</v>
      </c>
      <c r="C77" s="109">
        <v>-16.592492206863302</v>
      </c>
      <c r="D77" s="97">
        <v>-14.946955789653719</v>
      </c>
      <c r="E77" s="97">
        <v>-13.027163302909205</v>
      </c>
      <c r="F77" s="97">
        <v>-12.752907233374273</v>
      </c>
      <c r="G77" s="97">
        <v>-17.141004345933162</v>
      </c>
      <c r="H77" s="97">
        <v>-21.803357528026986</v>
      </c>
      <c r="I77" s="97">
        <v>-24.134534119073894</v>
      </c>
      <c r="J77" s="97">
        <v>-22.90038180616671</v>
      </c>
      <c r="K77" s="97">
        <v>-20.980589319422194</v>
      </c>
      <c r="L77" s="97">
        <v>-14.261315615816391</v>
      </c>
      <c r="M77" s="97">
        <v>-14.261315615816391</v>
      </c>
      <c r="N77" s="97">
        <v>-19.060796832677678</v>
      </c>
      <c r="O77" s="110">
        <v>-211.86281371573389</v>
      </c>
    </row>
    <row r="78" spans="1:15" x14ac:dyDescent="0.2">
      <c r="A78" s="230"/>
      <c r="B78" s="108" t="s">
        <v>27</v>
      </c>
      <c r="C78" s="109">
        <v>-320.45572719640484</v>
      </c>
      <c r="D78" s="97">
        <v>-288.67499392072824</v>
      </c>
      <c r="E78" s="97">
        <v>-251.59747176577233</v>
      </c>
      <c r="F78" s="97">
        <v>-246.30068288649295</v>
      </c>
      <c r="G78" s="97">
        <v>-331.04930495496359</v>
      </c>
      <c r="H78" s="97">
        <v>-421.09471590271386</v>
      </c>
      <c r="I78" s="97">
        <v>-466.11742137658905</v>
      </c>
      <c r="J78" s="97">
        <v>-442.28187141983153</v>
      </c>
      <c r="K78" s="97">
        <v>-405.20434926487553</v>
      </c>
      <c r="L78" s="97">
        <v>-275.4330217225297</v>
      </c>
      <c r="M78" s="97">
        <v>-275.4330217225297</v>
      </c>
      <c r="N78" s="97">
        <v>-368.12682710991959</v>
      </c>
      <c r="O78" s="110">
        <v>-4091.7694092433512</v>
      </c>
    </row>
    <row r="79" spans="1:15" x14ac:dyDescent="0.2">
      <c r="A79" s="230"/>
      <c r="B79" s="108" t="s">
        <v>50</v>
      </c>
      <c r="C79" s="109">
        <v>876.26058914918849</v>
      </c>
      <c r="D79" s="97">
        <v>789.35871253935159</v>
      </c>
      <c r="E79" s="97">
        <v>687.97318982787522</v>
      </c>
      <c r="F79" s="97">
        <v>673.48954372623575</v>
      </c>
      <c r="G79" s="97">
        <v>905.22788135246742</v>
      </c>
      <c r="H79" s="97">
        <v>1151.4498650803387</v>
      </c>
      <c r="I79" s="97">
        <v>1274.5608569442743</v>
      </c>
      <c r="J79" s="97">
        <v>1209.3844494868965</v>
      </c>
      <c r="K79" s="97">
        <v>1107.9989267754202</v>
      </c>
      <c r="L79" s="97">
        <v>753.14959728525287</v>
      </c>
      <c r="M79" s="97">
        <v>753.14959728525287</v>
      </c>
      <c r="N79" s="97">
        <v>1006.6134040639438</v>
      </c>
      <c r="O79" s="110">
        <v>11188.616613516499</v>
      </c>
    </row>
    <row r="80" spans="1:15" x14ac:dyDescent="0.2">
      <c r="A80" s="230"/>
      <c r="B80" s="108" t="s">
        <v>90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">
      <c r="A81" s="230"/>
      <c r="B81" s="108" t="s">
        <v>92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">
      <c r="A82" s="98" t="s">
        <v>56</v>
      </c>
      <c r="B82" s="98" t="s">
        <v>71</v>
      </c>
      <c r="C82" s="105">
        <v>37.844453167579964</v>
      </c>
      <c r="D82" s="106">
        <v>52.036123105422448</v>
      </c>
      <c r="E82" s="106">
        <v>42.575009813527458</v>
      </c>
      <c r="F82" s="106">
        <v>52.036123105422448</v>
      </c>
      <c r="G82" s="106">
        <v>52.036123105422448</v>
      </c>
      <c r="H82" s="106">
        <v>66.227793043264938</v>
      </c>
      <c r="I82" s="106">
        <v>61.497236397317444</v>
      </c>
      <c r="J82" s="106">
        <v>61.497236397317444</v>
      </c>
      <c r="K82" s="106">
        <v>61.497236397317444</v>
      </c>
      <c r="L82" s="106">
        <v>47.305566459474953</v>
      </c>
      <c r="M82" s="106">
        <v>42.575009813527458</v>
      </c>
      <c r="N82" s="106">
        <v>42.575009813527458</v>
      </c>
      <c r="O82" s="107">
        <v>619.70292061912198</v>
      </c>
    </row>
    <row r="83" spans="1:15" x14ac:dyDescent="0.2">
      <c r="A83" s="230"/>
      <c r="B83" s="108" t="s">
        <v>25</v>
      </c>
      <c r="C83" s="109">
        <v>-20.090131238977953</v>
      </c>
      <c r="D83" s="97">
        <v>-27.623930453594696</v>
      </c>
      <c r="E83" s="97">
        <v>-22.601397643850191</v>
      </c>
      <c r="F83" s="97">
        <v>-27.623930453594696</v>
      </c>
      <c r="G83" s="97">
        <v>-27.623930453594696</v>
      </c>
      <c r="H83" s="97">
        <v>-35.157729668211417</v>
      </c>
      <c r="I83" s="97">
        <v>-32.646463263339164</v>
      </c>
      <c r="J83" s="97">
        <v>-32.646463263339164</v>
      </c>
      <c r="K83" s="97">
        <v>-32.646463263339164</v>
      </c>
      <c r="L83" s="97">
        <v>-25.112664048722444</v>
      </c>
      <c r="M83" s="97">
        <v>-22.601397643850191</v>
      </c>
      <c r="N83" s="97">
        <v>-22.601397643850191</v>
      </c>
      <c r="O83" s="110">
        <v>-328.97589903826395</v>
      </c>
    </row>
    <row r="84" spans="1:15" x14ac:dyDescent="0.2">
      <c r="A84" s="230"/>
      <c r="B84" s="108" t="s">
        <v>26</v>
      </c>
      <c r="C84" s="109">
        <v>-1.0970242781397226</v>
      </c>
      <c r="D84" s="97">
        <v>-1.5084083824421184</v>
      </c>
      <c r="E84" s="97">
        <v>-1.2341523129071879</v>
      </c>
      <c r="F84" s="97">
        <v>-1.5084083824421184</v>
      </c>
      <c r="G84" s="97">
        <v>-1.5084083824421184</v>
      </c>
      <c r="H84" s="97">
        <v>-1.9197924867445142</v>
      </c>
      <c r="I84" s="97">
        <v>-1.7826644519770489</v>
      </c>
      <c r="J84" s="97">
        <v>-1.7826644519770489</v>
      </c>
      <c r="K84" s="97">
        <v>-1.7826644519770489</v>
      </c>
      <c r="L84" s="97">
        <v>-1.3712803476746531</v>
      </c>
      <c r="M84" s="97">
        <v>-1.2341523129071879</v>
      </c>
      <c r="N84" s="97">
        <v>-1.2341523129071879</v>
      </c>
      <c r="O84" s="110">
        <v>-17.963772554537954</v>
      </c>
    </row>
    <row r="85" spans="1:15" x14ac:dyDescent="0.2">
      <c r="A85" s="230"/>
      <c r="B85" s="108" t="s">
        <v>27</v>
      </c>
      <c r="C85" s="109">
        <v>-21.187155517117677</v>
      </c>
      <c r="D85" s="97">
        <v>-29.132338836036816</v>
      </c>
      <c r="E85" s="97">
        <v>-23.835549956757379</v>
      </c>
      <c r="F85" s="97">
        <v>-29.132338836036816</v>
      </c>
      <c r="G85" s="97">
        <v>-29.132338836036816</v>
      </c>
      <c r="H85" s="97">
        <v>-37.077522154955929</v>
      </c>
      <c r="I85" s="97">
        <v>-34.429127715316213</v>
      </c>
      <c r="J85" s="97">
        <v>-34.429127715316213</v>
      </c>
      <c r="K85" s="97">
        <v>-34.429127715316213</v>
      </c>
      <c r="L85" s="97">
        <v>-26.483944396397096</v>
      </c>
      <c r="M85" s="97">
        <v>-23.835549956757379</v>
      </c>
      <c r="N85" s="97">
        <v>-23.835549956757379</v>
      </c>
      <c r="O85" s="110">
        <v>-346.93967159280197</v>
      </c>
    </row>
    <row r="86" spans="1:15" x14ac:dyDescent="0.2">
      <c r="A86" s="230"/>
      <c r="B86" s="108" t="s">
        <v>50</v>
      </c>
      <c r="C86" s="109">
        <v>57.934584406557917</v>
      </c>
      <c r="D86" s="97">
        <v>79.660053559017143</v>
      </c>
      <c r="E86" s="97">
        <v>65.17640745737765</v>
      </c>
      <c r="F86" s="97">
        <v>79.660053559017143</v>
      </c>
      <c r="G86" s="97">
        <v>79.660053559017143</v>
      </c>
      <c r="H86" s="97">
        <v>101.38552271147636</v>
      </c>
      <c r="I86" s="97">
        <v>94.143699660656608</v>
      </c>
      <c r="J86" s="97">
        <v>94.143699660656608</v>
      </c>
      <c r="K86" s="97">
        <v>94.143699660656608</v>
      </c>
      <c r="L86" s="97">
        <v>72.418230508197396</v>
      </c>
      <c r="M86" s="97">
        <v>65.17640745737765</v>
      </c>
      <c r="N86" s="97">
        <v>65.17640745737765</v>
      </c>
      <c r="O86" s="110">
        <v>948.67881965738582</v>
      </c>
    </row>
    <row r="87" spans="1:15" x14ac:dyDescent="0.2">
      <c r="A87" s="230"/>
      <c r="B87" s="108" t="s">
        <v>90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">
      <c r="A88" s="230"/>
      <c r="B88" s="108" t="s">
        <v>92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">
      <c r="A89" s="98" t="s">
        <v>57</v>
      </c>
      <c r="B89" s="98" t="s">
        <v>71</v>
      </c>
      <c r="C89" s="105">
        <v>104.0722462108449</v>
      </c>
      <c r="D89" s="106">
        <v>104.0722462108449</v>
      </c>
      <c r="E89" s="106">
        <v>85.150019627054917</v>
      </c>
      <c r="F89" s="106">
        <v>99.341689564897408</v>
      </c>
      <c r="G89" s="106">
        <v>146.64725602437235</v>
      </c>
      <c r="H89" s="106">
        <v>179.76115254600484</v>
      </c>
      <c r="I89" s="106">
        <v>189.22226583789981</v>
      </c>
      <c r="J89" s="106">
        <v>179.76115254600484</v>
      </c>
      <c r="K89" s="106">
        <v>165.56948260816233</v>
      </c>
      <c r="L89" s="106">
        <v>108.8028028567924</v>
      </c>
      <c r="M89" s="106">
        <v>85.150019627054917</v>
      </c>
      <c r="N89" s="106">
        <v>127.72502944058238</v>
      </c>
      <c r="O89" s="107">
        <v>1575.2753631005162</v>
      </c>
    </row>
    <row r="90" spans="1:15" x14ac:dyDescent="0.2">
      <c r="A90" s="230"/>
      <c r="B90" s="108" t="s">
        <v>25</v>
      </c>
      <c r="C90" s="109">
        <v>-55.247860907189391</v>
      </c>
      <c r="D90" s="97">
        <v>-55.247860907189391</v>
      </c>
      <c r="E90" s="97">
        <v>-45.202795287700383</v>
      </c>
      <c r="F90" s="97">
        <v>-52.736594502317118</v>
      </c>
      <c r="G90" s="97">
        <v>-77.849258551039583</v>
      </c>
      <c r="H90" s="97">
        <v>-95.428123385145284</v>
      </c>
      <c r="I90" s="97">
        <v>-100.45065619488977</v>
      </c>
      <c r="J90" s="97">
        <v>-95.428123385145284</v>
      </c>
      <c r="K90" s="97">
        <v>-87.894324170528563</v>
      </c>
      <c r="L90" s="97">
        <v>-57.759127312061622</v>
      </c>
      <c r="M90" s="97">
        <v>-45.202795287700383</v>
      </c>
      <c r="N90" s="97">
        <v>-67.804192931550602</v>
      </c>
      <c r="O90" s="110">
        <v>-836.25171282245742</v>
      </c>
    </row>
    <row r="91" spans="1:15" x14ac:dyDescent="0.2">
      <c r="A91" s="230"/>
      <c r="B91" s="108" t="s">
        <v>26</v>
      </c>
      <c r="C91" s="109">
        <v>-3.0168167648842368</v>
      </c>
      <c r="D91" s="97">
        <v>-3.0168167648842368</v>
      </c>
      <c r="E91" s="97">
        <v>-2.4683046258143757</v>
      </c>
      <c r="F91" s="97">
        <v>-2.8796887301167717</v>
      </c>
      <c r="G91" s="97">
        <v>-4.2509690777914244</v>
      </c>
      <c r="H91" s="97">
        <v>-5.2108653211636824</v>
      </c>
      <c r="I91" s="97">
        <v>-5.4851213906986125</v>
      </c>
      <c r="J91" s="97">
        <v>-5.2108653211636824</v>
      </c>
      <c r="K91" s="97">
        <v>-4.7994812168612855</v>
      </c>
      <c r="L91" s="97">
        <v>-3.1539447996517023</v>
      </c>
      <c r="M91" s="97">
        <v>-2.4683046258143757</v>
      </c>
      <c r="N91" s="97">
        <v>-3.7024569387215638</v>
      </c>
      <c r="O91" s="110">
        <v>-45.663635577565955</v>
      </c>
    </row>
    <row r="92" spans="1:15" x14ac:dyDescent="0.2">
      <c r="A92" s="230"/>
      <c r="B92" s="108" t="s">
        <v>27</v>
      </c>
      <c r="C92" s="109">
        <v>-58.264677672073631</v>
      </c>
      <c r="D92" s="97">
        <v>-58.264677672073631</v>
      </c>
      <c r="E92" s="97">
        <v>-47.671099913514759</v>
      </c>
      <c r="F92" s="97">
        <v>-55.616283232433886</v>
      </c>
      <c r="G92" s="97">
        <v>-82.100227628831007</v>
      </c>
      <c r="H92" s="97">
        <v>-100.63898870630896</v>
      </c>
      <c r="I92" s="97">
        <v>-105.93577758558838</v>
      </c>
      <c r="J92" s="97">
        <v>-100.63898870630896</v>
      </c>
      <c r="K92" s="97">
        <v>-92.693805387389844</v>
      </c>
      <c r="L92" s="97">
        <v>-60.913072111713326</v>
      </c>
      <c r="M92" s="97">
        <v>-47.671099913514759</v>
      </c>
      <c r="N92" s="97">
        <v>-71.50664987027217</v>
      </c>
      <c r="O92" s="110">
        <v>-881.91534840002328</v>
      </c>
    </row>
    <row r="93" spans="1:15" x14ac:dyDescent="0.2">
      <c r="A93" s="230"/>
      <c r="B93" s="108" t="s">
        <v>50</v>
      </c>
      <c r="C93" s="109">
        <v>159.32010711803429</v>
      </c>
      <c r="D93" s="97">
        <v>159.32010711803429</v>
      </c>
      <c r="E93" s="97">
        <v>130.3528149147553</v>
      </c>
      <c r="F93" s="97">
        <v>152.07828406721453</v>
      </c>
      <c r="G93" s="97">
        <v>224.49651457541194</v>
      </c>
      <c r="H93" s="97">
        <v>275.18927593115012</v>
      </c>
      <c r="I93" s="97">
        <v>289.67292203278959</v>
      </c>
      <c r="J93" s="97">
        <v>275.18927593115012</v>
      </c>
      <c r="K93" s="97">
        <v>253.46380677869089</v>
      </c>
      <c r="L93" s="97">
        <v>166.56193016885402</v>
      </c>
      <c r="M93" s="97">
        <v>130.3528149147553</v>
      </c>
      <c r="N93" s="97">
        <v>195.52922237213298</v>
      </c>
      <c r="O93" s="110">
        <v>2411.5270759229738</v>
      </c>
    </row>
    <row r="94" spans="1:15" x14ac:dyDescent="0.2">
      <c r="A94" s="230"/>
      <c r="B94" s="108" t="s">
        <v>90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">
      <c r="A95" s="230"/>
      <c r="B95" s="108" t="s">
        <v>92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">
      <c r="A96" s="98" t="s">
        <v>58</v>
      </c>
      <c r="B96" s="98" t="s">
        <v>71</v>
      </c>
      <c r="C96" s="105">
        <v>175.03059590005734</v>
      </c>
      <c r="D96" s="106">
        <v>175.03059590005734</v>
      </c>
      <c r="E96" s="106">
        <v>118.26391614868739</v>
      </c>
      <c r="F96" s="106">
        <v>146.64725602437235</v>
      </c>
      <c r="G96" s="106">
        <v>189.22226583789981</v>
      </c>
      <c r="H96" s="106">
        <v>227.0667190054798</v>
      </c>
      <c r="I96" s="106">
        <v>245.98894558926978</v>
      </c>
      <c r="J96" s="106">
        <v>236.52783229737477</v>
      </c>
      <c r="K96" s="106">
        <v>222.3361623595323</v>
      </c>
      <c r="L96" s="106">
        <v>165.56948260816233</v>
      </c>
      <c r="M96" s="106">
        <v>160.83892596221486</v>
      </c>
      <c r="N96" s="106">
        <v>160.83892596221486</v>
      </c>
      <c r="O96" s="107">
        <v>2223.3616235953232</v>
      </c>
    </row>
    <row r="97" spans="1:15" x14ac:dyDescent="0.2">
      <c r="A97" s="230"/>
      <c r="B97" s="108" t="s">
        <v>25</v>
      </c>
      <c r="C97" s="109">
        <v>-92.916856980273053</v>
      </c>
      <c r="D97" s="97">
        <v>-92.916856980273053</v>
      </c>
      <c r="E97" s="97">
        <v>-62.781660121806098</v>
      </c>
      <c r="F97" s="97">
        <v>-77.849258551039583</v>
      </c>
      <c r="G97" s="97">
        <v>-100.45065619488977</v>
      </c>
      <c r="H97" s="97">
        <v>-120.54078743386771</v>
      </c>
      <c r="I97" s="97">
        <v>-130.58585305335666</v>
      </c>
      <c r="J97" s="97">
        <v>-125.5633202436122</v>
      </c>
      <c r="K97" s="97">
        <v>-118.02952102899548</v>
      </c>
      <c r="L97" s="97">
        <v>-87.894324170528563</v>
      </c>
      <c r="M97" s="97">
        <v>-85.383057765656275</v>
      </c>
      <c r="N97" s="97">
        <v>-85.383057765656275</v>
      </c>
      <c r="O97" s="110">
        <v>-1180.2952102899549</v>
      </c>
    </row>
    <row r="98" spans="1:15" x14ac:dyDescent="0.2">
      <c r="A98" s="230"/>
      <c r="B98" s="108" t="s">
        <v>26</v>
      </c>
      <c r="C98" s="109">
        <v>-5.0737372863962165</v>
      </c>
      <c r="D98" s="97">
        <v>-5.0737372863962165</v>
      </c>
      <c r="E98" s="97">
        <v>-3.4282008691866328</v>
      </c>
      <c r="F98" s="97">
        <v>-4.2509690777914244</v>
      </c>
      <c r="G98" s="97">
        <v>-5.4851213906986125</v>
      </c>
      <c r="H98" s="97">
        <v>-6.5821456688383346</v>
      </c>
      <c r="I98" s="97">
        <v>-7.1306578079081957</v>
      </c>
      <c r="J98" s="97">
        <v>-6.8564017383732656</v>
      </c>
      <c r="K98" s="97">
        <v>-6.4450176340708696</v>
      </c>
      <c r="L98" s="97">
        <v>-4.7994812168612855</v>
      </c>
      <c r="M98" s="97">
        <v>-4.6623531820938213</v>
      </c>
      <c r="N98" s="97">
        <v>-4.6623531820938213</v>
      </c>
      <c r="O98" s="110">
        <v>-64.450176340708694</v>
      </c>
    </row>
    <row r="99" spans="1:15" x14ac:dyDescent="0.2">
      <c r="A99" s="230"/>
      <c r="B99" s="108" t="s">
        <v>27</v>
      </c>
      <c r="C99" s="109">
        <v>-97.990594266669262</v>
      </c>
      <c r="D99" s="97">
        <v>-97.990594266669262</v>
      </c>
      <c r="E99" s="97">
        <v>-66.209860990992738</v>
      </c>
      <c r="F99" s="97">
        <v>-82.100227628831007</v>
      </c>
      <c r="G99" s="97">
        <v>-105.93577758558838</v>
      </c>
      <c r="H99" s="97">
        <v>-127.12293310270604</v>
      </c>
      <c r="I99" s="97">
        <v>-137.71651086126485</v>
      </c>
      <c r="J99" s="97">
        <v>-132.41972198198548</v>
      </c>
      <c r="K99" s="97">
        <v>-124.47453866306634</v>
      </c>
      <c r="L99" s="97">
        <v>-92.693805387389844</v>
      </c>
      <c r="M99" s="97">
        <v>-90.045410947750099</v>
      </c>
      <c r="N99" s="97">
        <v>-90.045410947750099</v>
      </c>
      <c r="O99" s="110">
        <v>-1244.7453866306635</v>
      </c>
    </row>
    <row r="100" spans="1:15" x14ac:dyDescent="0.2">
      <c r="A100" s="230"/>
      <c r="B100" s="108" t="s">
        <v>50</v>
      </c>
      <c r="C100" s="109">
        <v>267.94745288033039</v>
      </c>
      <c r="D100" s="97">
        <v>267.94745288033039</v>
      </c>
      <c r="E100" s="97">
        <v>181.04557627049348</v>
      </c>
      <c r="F100" s="97">
        <v>224.49651457541194</v>
      </c>
      <c r="G100" s="97">
        <v>289.67292203278959</v>
      </c>
      <c r="H100" s="97">
        <v>347.6075064393475</v>
      </c>
      <c r="I100" s="97">
        <v>376.57479864262643</v>
      </c>
      <c r="J100" s="97">
        <v>362.09115254098697</v>
      </c>
      <c r="K100" s="97">
        <v>340.36568338852777</v>
      </c>
      <c r="L100" s="97">
        <v>253.46380677869089</v>
      </c>
      <c r="M100" s="97">
        <v>246.22198372787113</v>
      </c>
      <c r="N100" s="97">
        <v>246.22198372787113</v>
      </c>
      <c r="O100" s="110">
        <v>3403.656833885278</v>
      </c>
    </row>
    <row r="101" spans="1:15" x14ac:dyDescent="0.2">
      <c r="A101" s="230"/>
      <c r="B101" s="108" t="s">
        <v>90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">
      <c r="A102" s="230"/>
      <c r="B102" s="108" t="s">
        <v>92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">
      <c r="A103" s="98" t="s">
        <v>82</v>
      </c>
      <c r="B103" s="98" t="s">
        <v>71</v>
      </c>
      <c r="C103" s="105">
        <v>771.08073328944181</v>
      </c>
      <c r="D103" s="106">
        <v>733.2362801218618</v>
      </c>
      <c r="E103" s="106">
        <v>667.00848707859689</v>
      </c>
      <c r="F103" s="106">
        <v>435.21121142716959</v>
      </c>
      <c r="G103" s="106">
        <v>619.70292061912187</v>
      </c>
      <c r="H103" s="106">
        <v>719.04461018401935</v>
      </c>
      <c r="I103" s="106">
        <v>704.85294024617679</v>
      </c>
      <c r="J103" s="106">
        <v>648.08626049480688</v>
      </c>
      <c r="K103" s="106">
        <v>643.35570384885943</v>
      </c>
      <c r="L103" s="106">
        <v>430.48065478122209</v>
      </c>
      <c r="M103" s="106">
        <v>534.55290099206695</v>
      </c>
      <c r="N103" s="106">
        <v>993.4168956489741</v>
      </c>
      <c r="O103" s="107">
        <v>7900.029598732317</v>
      </c>
    </row>
    <row r="104" spans="1:15" x14ac:dyDescent="0.2">
      <c r="A104" s="230"/>
      <c r="B104" s="108" t="s">
        <v>25</v>
      </c>
      <c r="C104" s="109">
        <v>-409.33642399417579</v>
      </c>
      <c r="D104" s="97">
        <v>-389.24629275519794</v>
      </c>
      <c r="E104" s="97">
        <v>-354.08856308698637</v>
      </c>
      <c r="F104" s="97">
        <v>-231.03650924824649</v>
      </c>
      <c r="G104" s="97">
        <v>-328.97589903826406</v>
      </c>
      <c r="H104" s="97">
        <v>-381.71249354058114</v>
      </c>
      <c r="I104" s="97">
        <v>-374.17869432596444</v>
      </c>
      <c r="J104" s="97">
        <v>-344.04349746749745</v>
      </c>
      <c r="K104" s="97">
        <v>-341.5322310626251</v>
      </c>
      <c r="L104" s="97">
        <v>-228.5252428433742</v>
      </c>
      <c r="M104" s="97">
        <v>-283.77310375056368</v>
      </c>
      <c r="N104" s="97">
        <v>-527.36594502317121</v>
      </c>
      <c r="O104" s="110">
        <v>-4193.8148961366478</v>
      </c>
    </row>
    <row r="105" spans="1:15" x14ac:dyDescent="0.2">
      <c r="A105" s="230"/>
      <c r="B105" s="108" t="s">
        <v>26</v>
      </c>
      <c r="C105" s="109">
        <v>-22.351869667096846</v>
      </c>
      <c r="D105" s="97">
        <v>-21.254845388957122</v>
      </c>
      <c r="E105" s="97">
        <v>-19.33505290221261</v>
      </c>
      <c r="F105" s="97">
        <v>-12.615779198606809</v>
      </c>
      <c r="G105" s="97">
        <v>-17.963772554537957</v>
      </c>
      <c r="H105" s="97">
        <v>-20.84346128465473</v>
      </c>
      <c r="I105" s="97">
        <v>-20.432077180352334</v>
      </c>
      <c r="J105" s="97">
        <v>-18.786540763142749</v>
      </c>
      <c r="K105" s="97">
        <v>-18.649412728375285</v>
      </c>
      <c r="L105" s="97">
        <v>-12.478651163839343</v>
      </c>
      <c r="M105" s="97">
        <v>-15.495467928723581</v>
      </c>
      <c r="N105" s="97">
        <v>-28.796887301167718</v>
      </c>
      <c r="O105" s="110">
        <v>-229.00381806166709</v>
      </c>
    </row>
    <row r="106" spans="1:15" x14ac:dyDescent="0.2">
      <c r="A106" s="230"/>
      <c r="B106" s="108" t="s">
        <v>27</v>
      </c>
      <c r="C106" s="109">
        <v>-431.68829366127261</v>
      </c>
      <c r="D106" s="97">
        <v>-410.50113814415505</v>
      </c>
      <c r="E106" s="97">
        <v>-373.42361598919899</v>
      </c>
      <c r="F106" s="97">
        <v>-243.65228844685331</v>
      </c>
      <c r="G106" s="97">
        <v>-346.93967159280203</v>
      </c>
      <c r="H106" s="97">
        <v>-402.55595482523586</v>
      </c>
      <c r="I106" s="97">
        <v>-394.61077150631678</v>
      </c>
      <c r="J106" s="97">
        <v>-362.83003823064018</v>
      </c>
      <c r="K106" s="97">
        <v>-360.1816437910004</v>
      </c>
      <c r="L106" s="97">
        <v>-241.00389400721355</v>
      </c>
      <c r="M106" s="97">
        <v>-299.26857167928728</v>
      </c>
      <c r="N106" s="97">
        <v>-556.16283232433898</v>
      </c>
      <c r="O106" s="110">
        <v>-4422.8187141983153</v>
      </c>
    </row>
    <row r="107" spans="1:15" x14ac:dyDescent="0.2">
      <c r="A107" s="230"/>
      <c r="B107" s="108" t="s">
        <v>50</v>
      </c>
      <c r="C107" s="109">
        <v>1180.4171572836176</v>
      </c>
      <c r="D107" s="97">
        <v>1122.4825728770597</v>
      </c>
      <c r="E107" s="97">
        <v>1021.0970501655833</v>
      </c>
      <c r="F107" s="97">
        <v>666.24772067541608</v>
      </c>
      <c r="G107" s="97">
        <v>948.67881965738593</v>
      </c>
      <c r="H107" s="97">
        <v>1100.7571037246005</v>
      </c>
      <c r="I107" s="97">
        <v>1079.0316345721412</v>
      </c>
      <c r="J107" s="97">
        <v>992.12975796230432</v>
      </c>
      <c r="K107" s="97">
        <v>984.88793491148454</v>
      </c>
      <c r="L107" s="97">
        <v>659.00589762459629</v>
      </c>
      <c r="M107" s="97">
        <v>818.32600474263063</v>
      </c>
      <c r="N107" s="97">
        <v>1520.7828406721453</v>
      </c>
      <c r="O107" s="110">
        <v>12093.844494868965</v>
      </c>
    </row>
    <row r="108" spans="1:15" x14ac:dyDescent="0.2">
      <c r="A108" s="230"/>
      <c r="B108" s="108" t="s">
        <v>90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">
      <c r="A109" s="230"/>
      <c r="B109" s="108" t="s">
        <v>92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">
      <c r="A110" s="98" t="s">
        <v>86</v>
      </c>
      <c r="B110" s="98" t="s">
        <v>71</v>
      </c>
      <c r="C110" s="105">
        <v>227.0667190054798</v>
      </c>
      <c r="D110" s="106">
        <v>212.87504906763729</v>
      </c>
      <c r="E110" s="106">
        <v>179.76115254600484</v>
      </c>
      <c r="F110" s="106">
        <v>122.99447279463489</v>
      </c>
      <c r="G110" s="106">
        <v>203.41393577574232</v>
      </c>
      <c r="H110" s="106">
        <v>255.45005888116475</v>
      </c>
      <c r="I110" s="106">
        <v>269.64172881900726</v>
      </c>
      <c r="J110" s="106">
        <v>255.45005888116475</v>
      </c>
      <c r="K110" s="106">
        <v>250.71950223521725</v>
      </c>
      <c r="L110" s="106">
        <v>146.64725602437235</v>
      </c>
      <c r="M110" s="106">
        <v>179.76115254600484</v>
      </c>
      <c r="N110" s="106">
        <v>274.37228546495476</v>
      </c>
      <c r="O110" s="107">
        <v>2578.1533720413845</v>
      </c>
    </row>
    <row r="111" spans="1:15" x14ac:dyDescent="0.2">
      <c r="A111" s="230"/>
      <c r="B111" s="108" t="s">
        <v>25</v>
      </c>
      <c r="C111" s="109">
        <v>-120.54078743386771</v>
      </c>
      <c r="D111" s="97">
        <v>-113.00698821925101</v>
      </c>
      <c r="E111" s="97">
        <v>-95.428123385145284</v>
      </c>
      <c r="F111" s="97">
        <v>-65.292926526678329</v>
      </c>
      <c r="G111" s="97">
        <v>-107.98445540950647</v>
      </c>
      <c r="H111" s="97">
        <v>-135.6083858631012</v>
      </c>
      <c r="I111" s="97">
        <v>-143.1421850777179</v>
      </c>
      <c r="J111" s="97">
        <v>-135.6083858631012</v>
      </c>
      <c r="K111" s="97">
        <v>-133.09711945822897</v>
      </c>
      <c r="L111" s="97">
        <v>-77.849258551039583</v>
      </c>
      <c r="M111" s="97">
        <v>-95.428123385145284</v>
      </c>
      <c r="N111" s="97">
        <v>-145.65345148259013</v>
      </c>
      <c r="O111" s="110">
        <v>-1368.6401906553729</v>
      </c>
    </row>
    <row r="112" spans="1:15" x14ac:dyDescent="0.2">
      <c r="A112" s="230"/>
      <c r="B112" s="108" t="s">
        <v>26</v>
      </c>
      <c r="C112" s="109">
        <v>-6.5821456688383346</v>
      </c>
      <c r="D112" s="97">
        <v>-6.1707615645359395</v>
      </c>
      <c r="E112" s="97">
        <v>-5.2108653211636824</v>
      </c>
      <c r="F112" s="97">
        <v>-3.5653289039540979</v>
      </c>
      <c r="G112" s="97">
        <v>-5.8965054950010085</v>
      </c>
      <c r="H112" s="97">
        <v>-7.4049138774431276</v>
      </c>
      <c r="I112" s="97">
        <v>-7.8162979817455227</v>
      </c>
      <c r="J112" s="97">
        <v>-7.4049138774431276</v>
      </c>
      <c r="K112" s="97">
        <v>-7.2677858426756616</v>
      </c>
      <c r="L112" s="97">
        <v>-4.2509690777914244</v>
      </c>
      <c r="M112" s="97">
        <v>-5.2108653211636824</v>
      </c>
      <c r="N112" s="97">
        <v>-7.9534260165129886</v>
      </c>
      <c r="O112" s="110">
        <v>-74.734778948268598</v>
      </c>
    </row>
    <row r="113" spans="1:15" x14ac:dyDescent="0.2">
      <c r="A113" s="230"/>
      <c r="B113" s="108" t="s">
        <v>27</v>
      </c>
      <c r="C113" s="109">
        <v>-127.12293310270604</v>
      </c>
      <c r="D113" s="97">
        <v>-119.17774978378695</v>
      </c>
      <c r="E113" s="97">
        <v>-100.63898870630896</v>
      </c>
      <c r="F113" s="97">
        <v>-68.858255430632425</v>
      </c>
      <c r="G113" s="97">
        <v>-113.88096090450748</v>
      </c>
      <c r="H113" s="97">
        <v>-143.01329974054434</v>
      </c>
      <c r="I113" s="97">
        <v>-150.95848305946342</v>
      </c>
      <c r="J113" s="97">
        <v>-143.01329974054434</v>
      </c>
      <c r="K113" s="97">
        <v>-140.36490530090464</v>
      </c>
      <c r="L113" s="97">
        <v>-82.100227628831007</v>
      </c>
      <c r="M113" s="97">
        <v>-100.63898870630896</v>
      </c>
      <c r="N113" s="97">
        <v>-153.60687749910312</v>
      </c>
      <c r="O113" s="110">
        <v>-1443.3749696036416</v>
      </c>
    </row>
    <row r="114" spans="1:15" x14ac:dyDescent="0.2">
      <c r="A114" s="230"/>
      <c r="B114" s="108" t="s">
        <v>50</v>
      </c>
      <c r="C114" s="109">
        <v>347.6075064393475</v>
      </c>
      <c r="D114" s="97">
        <v>325.88203728688831</v>
      </c>
      <c r="E114" s="97">
        <v>275.18927593115012</v>
      </c>
      <c r="F114" s="97">
        <v>188.28739932131322</v>
      </c>
      <c r="G114" s="97">
        <v>311.39839118524878</v>
      </c>
      <c r="H114" s="97">
        <v>391.05844474426596</v>
      </c>
      <c r="I114" s="97">
        <v>412.78391389672515</v>
      </c>
      <c r="J114" s="97">
        <v>391.05844474426596</v>
      </c>
      <c r="K114" s="97">
        <v>383.81662169344622</v>
      </c>
      <c r="L114" s="97">
        <v>224.49651457541194</v>
      </c>
      <c r="M114" s="97">
        <v>275.18927593115012</v>
      </c>
      <c r="N114" s="97">
        <v>420.02573694754489</v>
      </c>
      <c r="O114" s="110">
        <v>3946.7935626967574</v>
      </c>
    </row>
    <row r="115" spans="1:15" x14ac:dyDescent="0.2">
      <c r="A115" s="230"/>
      <c r="B115" s="108" t="s">
        <v>90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">
      <c r="A116" s="230"/>
      <c r="B116" s="108" t="s">
        <v>92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">
      <c r="A117" s="98" t="s">
        <v>72</v>
      </c>
      <c r="B117" s="99"/>
      <c r="C117" s="105">
        <v>40011.048111423908</v>
      </c>
      <c r="D117" s="106">
        <v>38747.989486955936</v>
      </c>
      <c r="E117" s="106">
        <v>34419.530155913977</v>
      </c>
      <c r="F117" s="106">
        <v>30559.395932820822</v>
      </c>
      <c r="G117" s="106">
        <v>41780.276297008284</v>
      </c>
      <c r="H117" s="106">
        <v>48625.391763694308</v>
      </c>
      <c r="I117" s="106">
        <v>50933.903406916681</v>
      </c>
      <c r="J117" s="106">
        <v>49637.730885927063</v>
      </c>
      <c r="K117" s="106">
        <v>46089.813401466439</v>
      </c>
      <c r="L117" s="106">
        <v>33336.232683991999</v>
      </c>
      <c r="M117" s="106">
        <v>34126.23564386522</v>
      </c>
      <c r="N117" s="106">
        <v>46898.738587923457</v>
      </c>
      <c r="O117" s="107">
        <v>495166.28635790804</v>
      </c>
    </row>
    <row r="118" spans="1:15" x14ac:dyDescent="0.2">
      <c r="A118" s="98" t="s">
        <v>28</v>
      </c>
      <c r="B118" s="99"/>
      <c r="C118" s="237">
        <v>-21240.291252409435</v>
      </c>
      <c r="D118" s="238">
        <v>-20569.783122308545</v>
      </c>
      <c r="E118" s="238">
        <v>-18271.974361850447</v>
      </c>
      <c r="F118" s="238">
        <v>-16222.780975474692</v>
      </c>
      <c r="G118" s="238">
        <v>-22179.504887831663</v>
      </c>
      <c r="H118" s="238">
        <v>-25813.307375681801</v>
      </c>
      <c r="I118" s="238">
        <v>-27038.805381259459</v>
      </c>
      <c r="J118" s="238">
        <v>-26350.718386324461</v>
      </c>
      <c r="K118" s="238">
        <v>-24467.268582670276</v>
      </c>
      <c r="L118" s="238">
        <v>-17696.894355134711</v>
      </c>
      <c r="M118" s="238">
        <v>-18116.275844748376</v>
      </c>
      <c r="N118" s="238">
        <v>-24896.695137903429</v>
      </c>
      <c r="O118" s="239">
        <v>-262864.29966359725</v>
      </c>
    </row>
    <row r="119" spans="1:15" x14ac:dyDescent="0.2">
      <c r="A119" s="98" t="s">
        <v>29</v>
      </c>
      <c r="B119" s="99"/>
      <c r="C119" s="237">
        <v>-1159.8289180632216</v>
      </c>
      <c r="D119" s="238">
        <v>-1123.2157327803084</v>
      </c>
      <c r="E119" s="238">
        <v>-997.74358096807782</v>
      </c>
      <c r="F119" s="238">
        <v>-885.84710459782582</v>
      </c>
      <c r="G119" s="238">
        <v>-1211.1148030662537</v>
      </c>
      <c r="H119" s="238">
        <v>-1409.5390693747756</v>
      </c>
      <c r="I119" s="238">
        <v>-1476.4575503412989</v>
      </c>
      <c r="J119" s="238">
        <v>-1438.8844688150134</v>
      </c>
      <c r="K119" s="238">
        <v>-1336.0384427394147</v>
      </c>
      <c r="L119" s="238">
        <v>-966.34126100632818</v>
      </c>
      <c r="M119" s="238">
        <v>-989.241642812495</v>
      </c>
      <c r="N119" s="238">
        <v>-1359.4873366846509</v>
      </c>
      <c r="O119" s="239">
        <v>-14353.739911249662</v>
      </c>
    </row>
    <row r="120" spans="1:15" x14ac:dyDescent="0.2">
      <c r="A120" s="98" t="s">
        <v>30</v>
      </c>
      <c r="B120" s="99"/>
      <c r="C120" s="237">
        <v>-22400.120170472655</v>
      </c>
      <c r="D120" s="238">
        <v>-21692.998855088856</v>
      </c>
      <c r="E120" s="238">
        <v>-19269.717942818526</v>
      </c>
      <c r="F120" s="238">
        <v>-17108.628080072525</v>
      </c>
      <c r="G120" s="238">
        <v>-23390.619690897911</v>
      </c>
      <c r="H120" s="238">
        <v>-27222.84644505657</v>
      </c>
      <c r="I120" s="238">
        <v>-28515.262931600759</v>
      </c>
      <c r="J120" s="238">
        <v>-27789.602855139477</v>
      </c>
      <c r="K120" s="238">
        <v>-25803.307025409697</v>
      </c>
      <c r="L120" s="238">
        <v>-18663.235616141032</v>
      </c>
      <c r="M120" s="238">
        <v>-19105.517487560865</v>
      </c>
      <c r="N120" s="238">
        <v>-26256.182474588084</v>
      </c>
      <c r="O120" s="239">
        <v>-277218.03957484692</v>
      </c>
    </row>
    <row r="121" spans="1:15" x14ac:dyDescent="0.2">
      <c r="A121" s="98" t="s">
        <v>62</v>
      </c>
      <c r="B121" s="99"/>
      <c r="C121" s="105">
        <v>61251.339363833365</v>
      </c>
      <c r="D121" s="106">
        <v>59317.772609264495</v>
      </c>
      <c r="E121" s="106">
        <v>52691.504517764428</v>
      </c>
      <c r="F121" s="106">
        <v>46782.176908295514</v>
      </c>
      <c r="G121" s="106">
        <v>63959.781184839936</v>
      </c>
      <c r="H121" s="106">
        <v>74438.699139376098</v>
      </c>
      <c r="I121" s="106">
        <v>77972.708788176125</v>
      </c>
      <c r="J121" s="106">
        <v>75988.449272251528</v>
      </c>
      <c r="K121" s="106">
        <v>70557.081984136734</v>
      </c>
      <c r="L121" s="106">
        <v>51033.127039126703</v>
      </c>
      <c r="M121" s="106">
        <v>52242.511488613593</v>
      </c>
      <c r="N121" s="106">
        <v>71795.433725826879</v>
      </c>
      <c r="O121" s="107">
        <v>758030.58602150541</v>
      </c>
    </row>
    <row r="122" spans="1:15" x14ac:dyDescent="0.2">
      <c r="A122" s="98" t="s">
        <v>91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">
      <c r="A123" s="111" t="s">
        <v>93</v>
      </c>
      <c r="B123" s="231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">
      <c r="L125" s="233"/>
      <c r="O125" s="233"/>
    </row>
    <row r="126" spans="1:15" x14ac:dyDescent="0.2">
      <c r="L126" s="97"/>
      <c r="O126" s="97"/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N22" sqref="N22"/>
    </sheetView>
  </sheetViews>
  <sheetFormatPr defaultColWidth="8.7109375" defaultRowHeight="12.75" x14ac:dyDescent="0.2"/>
  <cols>
    <col min="1" max="1" width="0.5703125" style="1" customWidth="1"/>
    <col min="2" max="2" width="10.28515625" style="1" bestFit="1" customWidth="1"/>
    <col min="3" max="3" width="10.7109375" style="1" bestFit="1" customWidth="1"/>
    <col min="4" max="4" width="11" style="161" customWidth="1"/>
    <col min="5" max="5" width="24.28515625" style="1" customWidth="1"/>
    <col min="6" max="6" width="7.7109375" style="161" customWidth="1"/>
    <col min="7" max="7" width="8" style="161" customWidth="1"/>
    <col min="8" max="8" width="11.140625" style="161" bestFit="1" customWidth="1"/>
    <col min="9" max="9" width="11.28515625" style="162" customWidth="1"/>
    <col min="10" max="10" width="13.7109375" style="161" customWidth="1"/>
    <col min="11" max="11" width="13.5703125" style="163" customWidth="1"/>
    <col min="12" max="12" width="14.7109375" style="161" customWidth="1"/>
    <col min="13" max="13" width="13.42578125" style="125" bestFit="1" customWidth="1"/>
    <col min="14" max="17" width="13.42578125" style="125" customWidth="1"/>
    <col min="18" max="18" width="15.5703125" style="229" customWidth="1"/>
    <col min="19" max="16384" width="8.7109375" style="1"/>
  </cols>
  <sheetData>
    <row r="1" spans="2:18" ht="22.5" x14ac:dyDescent="0.2">
      <c r="B1" s="10" t="s">
        <v>100</v>
      </c>
      <c r="C1" s="115"/>
      <c r="D1" s="116"/>
      <c r="E1" s="115"/>
      <c r="F1" s="117" t="s">
        <v>12</v>
      </c>
      <c r="G1" s="118"/>
      <c r="H1" s="119"/>
      <c r="I1" s="120"/>
      <c r="J1" s="250" t="str">
        <f>"True-Up ARR
(CY"&amp;R1&amp;")"</f>
        <v>True-Up ARR
(CY2022)</v>
      </c>
      <c r="K1" s="250" t="str">
        <f>"Projected ARR
(Jan'"&amp;RIGHT(R$1,2)&amp;" - Dec'"&amp;RIGHT(R$1,2)&amp;")"</f>
        <v>Projected ARR
(Jan'22 - Dec'22)</v>
      </c>
      <c r="L1" s="121" t="s">
        <v>46</v>
      </c>
      <c r="M1" s="122"/>
      <c r="N1" s="52"/>
      <c r="O1" s="52"/>
      <c r="P1" s="52"/>
      <c r="Q1" s="52"/>
      <c r="R1" s="123">
        <v>2022</v>
      </c>
    </row>
    <row r="2" spans="2:18" x14ac:dyDescent="0.2">
      <c r="B2" s="10" t="s">
        <v>53</v>
      </c>
      <c r="C2" s="115"/>
      <c r="D2" s="116"/>
      <c r="E2" s="115"/>
      <c r="F2" s="124">
        <v>1</v>
      </c>
      <c r="G2" s="252"/>
      <c r="H2" s="252"/>
      <c r="I2" s="126" t="s">
        <v>6</v>
      </c>
      <c r="J2" s="127">
        <v>495175.74747120001</v>
      </c>
      <c r="K2" s="127">
        <v>708511</v>
      </c>
      <c r="L2" s="244"/>
      <c r="M2" s="129"/>
      <c r="N2" s="52"/>
      <c r="O2" s="52"/>
      <c r="P2" s="52"/>
      <c r="Q2" s="52"/>
      <c r="R2" s="1"/>
    </row>
    <row r="3" spans="2:18" x14ac:dyDescent="0.2">
      <c r="B3" s="10" t="str">
        <f>"for CY"&amp;R1&amp;" SPP Network Transmission Service"</f>
        <v>for CY2022 SPP Network Transmission Service</v>
      </c>
      <c r="C3" s="115"/>
      <c r="D3" s="116"/>
      <c r="E3" s="115"/>
      <c r="F3" s="124"/>
      <c r="G3" s="252"/>
      <c r="H3" s="252"/>
      <c r="I3" s="126" t="s">
        <v>10</v>
      </c>
      <c r="J3" s="130">
        <v>4.7305566459474955</v>
      </c>
      <c r="K3" s="130">
        <v>7.2418230508197396</v>
      </c>
      <c r="L3" s="150" t="str">
        <f>"Inv. Jan-Dec'"&amp;RIGHT(R1,2)</f>
        <v>Inv. Jan-Dec'22</v>
      </c>
      <c r="M3" s="129"/>
      <c r="N3" s="52"/>
      <c r="O3" s="52"/>
      <c r="P3" s="52"/>
      <c r="Q3" s="52"/>
      <c r="R3" s="1"/>
    </row>
    <row r="4" spans="2:18" x14ac:dyDescent="0.2">
      <c r="B4" s="9"/>
      <c r="C4" s="115"/>
      <c r="D4" s="116"/>
      <c r="E4" s="115"/>
      <c r="F4" s="124"/>
      <c r="G4" s="125"/>
      <c r="H4" s="125"/>
      <c r="I4" s="51"/>
      <c r="J4" s="125"/>
      <c r="K4" s="131"/>
      <c r="L4" s="125"/>
      <c r="M4" s="132"/>
      <c r="R4" s="1"/>
    </row>
    <row r="5" spans="2:18" x14ac:dyDescent="0.2">
      <c r="B5" s="9"/>
      <c r="C5" s="115"/>
      <c r="D5" s="116"/>
      <c r="E5" s="115"/>
      <c r="F5" s="124"/>
      <c r="G5" s="125"/>
      <c r="H5" s="125"/>
      <c r="I5" s="126"/>
      <c r="J5" s="125"/>
      <c r="K5" s="127">
        <v>0</v>
      </c>
      <c r="L5" s="128"/>
      <c r="M5" s="133"/>
      <c r="N5" s="134"/>
      <c r="O5" s="134"/>
      <c r="P5" s="134"/>
      <c r="Q5" s="134"/>
      <c r="R5" s="135"/>
    </row>
    <row r="6" spans="2:18" x14ac:dyDescent="0.2">
      <c r="B6" s="10" t="s">
        <v>23</v>
      </c>
      <c r="D6" s="116"/>
      <c r="E6" s="115"/>
      <c r="F6" s="136"/>
      <c r="G6" s="137"/>
      <c r="H6" s="138"/>
      <c r="I6" s="139"/>
      <c r="J6" s="140"/>
      <c r="K6" s="130">
        <v>0</v>
      </c>
      <c r="L6" s="232"/>
      <c r="M6" s="133"/>
      <c r="N6" s="134"/>
      <c r="O6" s="134"/>
      <c r="P6" s="134"/>
      <c r="Q6" s="134"/>
      <c r="R6" s="1"/>
    </row>
    <row r="7" spans="2:18" x14ac:dyDescent="0.2">
      <c r="B7" s="9" t="s">
        <v>78</v>
      </c>
      <c r="D7" s="116"/>
      <c r="E7" s="115"/>
      <c r="F7" s="124"/>
      <c r="G7" s="253"/>
      <c r="H7" s="252"/>
      <c r="I7" s="126"/>
      <c r="J7" s="141"/>
      <c r="K7" s="128"/>
      <c r="L7" s="128"/>
      <c r="M7" s="142"/>
      <c r="N7" s="143"/>
      <c r="O7" s="143"/>
      <c r="P7" s="143"/>
      <c r="Q7" s="143"/>
      <c r="R7" s="1"/>
    </row>
    <row r="8" spans="2:18" x14ac:dyDescent="0.2">
      <c r="B8" s="10"/>
      <c r="C8" s="115"/>
      <c r="D8" s="116"/>
      <c r="E8" s="115"/>
      <c r="F8" s="124"/>
      <c r="G8" s="252"/>
      <c r="H8" s="252"/>
      <c r="I8" s="126"/>
      <c r="J8" s="144"/>
      <c r="K8" s="128"/>
      <c r="L8" s="145"/>
      <c r="M8" s="129"/>
      <c r="N8" s="52"/>
      <c r="O8" s="52"/>
      <c r="P8" s="52"/>
      <c r="Q8" s="52"/>
      <c r="R8" s="135"/>
    </row>
    <row r="9" spans="2:18" x14ac:dyDescent="0.2">
      <c r="B9" s="146"/>
      <c r="C9" s="115"/>
      <c r="D9" s="116"/>
      <c r="E9" s="115"/>
      <c r="F9" s="124"/>
      <c r="G9" s="125"/>
      <c r="H9" s="125"/>
      <c r="I9" s="147"/>
      <c r="J9" s="148"/>
      <c r="K9" s="149"/>
      <c r="L9" s="150"/>
      <c r="M9" s="129"/>
      <c r="N9" s="52"/>
      <c r="O9" s="52"/>
      <c r="P9" s="52"/>
      <c r="Q9" s="52"/>
      <c r="R9" s="135"/>
    </row>
    <row r="10" spans="2:18" ht="13.5" thickBot="1" x14ac:dyDescent="0.25">
      <c r="B10" s="9"/>
      <c r="D10" s="1"/>
      <c r="E10" s="151"/>
      <c r="F10" s="152"/>
      <c r="G10" s="153"/>
      <c r="H10" s="154"/>
      <c r="I10" s="155"/>
      <c r="J10" s="156"/>
      <c r="K10" s="156"/>
      <c r="L10" s="157"/>
      <c r="M10" s="158"/>
      <c r="R10" s="159"/>
    </row>
    <row r="11" spans="2:18" x14ac:dyDescent="0.2">
      <c r="B11" s="160" t="s">
        <v>83</v>
      </c>
      <c r="E11" s="151"/>
      <c r="L11" s="164"/>
      <c r="M11" s="1"/>
      <c r="N11" s="1"/>
      <c r="O11" s="1"/>
      <c r="P11" s="1"/>
      <c r="Q11" s="1"/>
      <c r="R11" s="135"/>
    </row>
    <row r="12" spans="2:18" x14ac:dyDescent="0.2">
      <c r="E12" s="151"/>
      <c r="L12" s="164"/>
      <c r="R12" s="165" t="s">
        <v>61</v>
      </c>
    </row>
    <row r="13" spans="2:18" x14ac:dyDescent="0.2">
      <c r="E13" s="151"/>
      <c r="F13" s="166"/>
      <c r="G13" s="167"/>
      <c r="H13" s="167"/>
      <c r="I13" s="168" t="s">
        <v>59</v>
      </c>
      <c r="J13" s="169">
        <f t="shared" ref="J13:R13" si="0">SUM(J56:J211)</f>
        <v>131339.17471808629</v>
      </c>
      <c r="K13" s="169">
        <f t="shared" si="0"/>
        <v>201061.9751829594</v>
      </c>
      <c r="L13" s="170">
        <f t="shared" si="0"/>
        <v>-69722.800464872955</v>
      </c>
      <c r="M13" s="171">
        <f t="shared" si="0"/>
        <v>-3807.2227572839074</v>
      </c>
      <c r="N13" s="169">
        <f t="shared" si="0"/>
        <v>-73530.023222156902</v>
      </c>
      <c r="O13" s="169">
        <f>SUM(O56:O211)</f>
        <v>0</v>
      </c>
      <c r="P13" s="169">
        <f t="shared" si="0"/>
        <v>0</v>
      </c>
      <c r="Q13" s="169">
        <v>0</v>
      </c>
      <c r="R13" s="170">
        <f t="shared" si="0"/>
        <v>-73530.023222156902</v>
      </c>
    </row>
    <row r="14" spans="2:18" x14ac:dyDescent="0.2">
      <c r="E14" s="151"/>
      <c r="F14" s="172"/>
      <c r="G14" s="172"/>
      <c r="H14" s="172"/>
      <c r="I14" s="173" t="s">
        <v>60</v>
      </c>
      <c r="J14" s="169">
        <f>SUM(J20:J211)</f>
        <v>495166.28635790781</v>
      </c>
      <c r="K14" s="169">
        <f>SUM(K20:K211)</f>
        <v>758030.58602150471</v>
      </c>
      <c r="L14" s="170">
        <f>SUM(L20:L211)</f>
        <v>-262864.29966359754</v>
      </c>
      <c r="M14" s="240">
        <v>-14353.739911249664</v>
      </c>
      <c r="N14" s="169">
        <f>SUM(N20:N211)</f>
        <v>-277218.03957484686</v>
      </c>
      <c r="O14" s="169">
        <f>SUM(O20:O211)</f>
        <v>0</v>
      </c>
      <c r="P14" s="169">
        <f>SUM(P20:P211)</f>
        <v>0</v>
      </c>
      <c r="Q14" s="169">
        <v>0</v>
      </c>
      <c r="R14" s="170">
        <f>SUM(R20:R211)</f>
        <v>-277218.03957484686</v>
      </c>
    </row>
    <row r="15" spans="2:18" x14ac:dyDescent="0.2">
      <c r="B15" s="174" t="s">
        <v>85</v>
      </c>
      <c r="E15" s="151"/>
      <c r="J15" s="162"/>
      <c r="L15" s="164"/>
      <c r="M15" s="245"/>
      <c r="N15" s="175"/>
      <c r="O15" s="175"/>
      <c r="P15" s="175"/>
      <c r="Q15" s="175"/>
      <c r="R15" s="176" t="s">
        <v>20</v>
      </c>
    </row>
    <row r="16" spans="2:18" x14ac:dyDescent="0.2">
      <c r="B16" s="177" t="str">
        <f>"** Actual Trued-Up CY"&amp;R1&amp;" Charge reflects "&amp;R1&amp;" True-UP Rate x MW"</f>
        <v>** Actual Trued-Up CY2022 Charge reflects 2022 True-UP Rate x MW</v>
      </c>
      <c r="E16" s="151"/>
      <c r="F16" s="125"/>
      <c r="G16" s="5"/>
      <c r="J16" s="178"/>
      <c r="L16" s="179" t="s">
        <v>11</v>
      </c>
      <c r="M16" s="175"/>
      <c r="N16" s="175"/>
      <c r="O16" s="175"/>
      <c r="P16" s="175"/>
      <c r="Q16" s="175"/>
      <c r="R16" s="180"/>
    </row>
    <row r="17" spans="1:18" x14ac:dyDescent="0.2">
      <c r="B17" s="181" t="s">
        <v>63</v>
      </c>
      <c r="E17" s="151"/>
      <c r="I17" s="182"/>
      <c r="J17" s="183"/>
      <c r="K17" s="184"/>
      <c r="L17" s="184"/>
      <c r="M17" s="184"/>
      <c r="N17" s="184"/>
      <c r="O17" s="184"/>
      <c r="P17" s="184"/>
      <c r="Q17" s="184"/>
      <c r="R17" s="185"/>
    </row>
    <row r="18" spans="1:18" ht="3.6" customHeight="1" x14ac:dyDescent="0.2">
      <c r="I18" s="186"/>
      <c r="J18" s="183"/>
      <c r="K18" s="186"/>
      <c r="L18" s="186"/>
      <c r="M18" s="187"/>
      <c r="N18" s="187"/>
      <c r="O18" s="187"/>
      <c r="P18" s="187"/>
      <c r="Q18" s="187"/>
      <c r="R18" s="188"/>
    </row>
    <row r="19" spans="1:18" ht="38.25" customHeight="1" x14ac:dyDescent="0.2">
      <c r="B19" s="189" t="s">
        <v>54</v>
      </c>
      <c r="C19" s="246" t="s">
        <v>4</v>
      </c>
      <c r="D19" s="246" t="s">
        <v>5</v>
      </c>
      <c r="E19" s="247" t="s">
        <v>0</v>
      </c>
      <c r="F19" s="248" t="s">
        <v>12</v>
      </c>
      <c r="G19" s="249" t="s">
        <v>1</v>
      </c>
      <c r="H19" s="190" t="s">
        <v>49</v>
      </c>
      <c r="I19" s="190" t="s">
        <v>47</v>
      </c>
      <c r="J19" s="191" t="str">
        <f>"True-Up Charge"</f>
        <v>True-Up Charge</v>
      </c>
      <c r="K19" s="191" t="s">
        <v>48</v>
      </c>
      <c r="L19" s="192" t="s">
        <v>3</v>
      </c>
      <c r="M19" s="193" t="s">
        <v>7</v>
      </c>
      <c r="N19" s="194" t="s">
        <v>103</v>
      </c>
      <c r="O19" s="194" t="s">
        <v>87</v>
      </c>
      <c r="P19" s="194" t="s">
        <v>88</v>
      </c>
      <c r="Q19" s="194" t="s">
        <v>89</v>
      </c>
      <c r="R19" s="195" t="s">
        <v>2</v>
      </c>
    </row>
    <row r="20" spans="1:18" s="52" customFormat="1" ht="12.75" customHeight="1" x14ac:dyDescent="0.2">
      <c r="A20" s="125">
        <v>1</v>
      </c>
      <c r="B20" s="196">
        <f>DATE($R$1,A20,1)</f>
        <v>44562</v>
      </c>
      <c r="C20" s="241">
        <v>44595</v>
      </c>
      <c r="D20" s="241">
        <v>44615</v>
      </c>
      <c r="E20" s="197" t="s">
        <v>21</v>
      </c>
      <c r="F20" s="125">
        <v>9</v>
      </c>
      <c r="G20" s="198">
        <v>2899</v>
      </c>
      <c r="H20" s="199">
        <f>+$K$3</f>
        <v>7.2418230508197396</v>
      </c>
      <c r="I20" s="199">
        <f t="shared" ref="I20:I63" si="1">$J$3</f>
        <v>4.7305566459474955</v>
      </c>
      <c r="J20" s="200">
        <f t="shared" ref="J20:J108" si="2">+$G20*I20</f>
        <v>13713.883716601789</v>
      </c>
      <c r="K20" s="201">
        <f>+$G20*H20</f>
        <v>20994.045024326424</v>
      </c>
      <c r="L20" s="202">
        <f t="shared" ref="L20:L34" si="3">+J20-K20</f>
        <v>-7280.1613077246348</v>
      </c>
      <c r="M20" s="203">
        <f>G20/$G$212*$M$14</f>
        <v>-397.53417279088194</v>
      </c>
      <c r="N20" s="204">
        <f>SUM(L20:M20)</f>
        <v>-7677.6954805155165</v>
      </c>
      <c r="O20" s="203">
        <f>+$P$3</f>
        <v>0</v>
      </c>
      <c r="P20" s="203">
        <f>+G20*O20</f>
        <v>0</v>
      </c>
      <c r="Q20" s="203">
        <v>0</v>
      </c>
      <c r="R20" s="204">
        <f>+N20-Q20</f>
        <v>-7677.6954805155165</v>
      </c>
    </row>
    <row r="21" spans="1:18" x14ac:dyDescent="0.2">
      <c r="A21" s="161">
        <v>2</v>
      </c>
      <c r="B21" s="196">
        <f t="shared" ref="B21:B108" si="4">DATE($R$1,A21,1)</f>
        <v>44593</v>
      </c>
      <c r="C21" s="241">
        <v>44623</v>
      </c>
      <c r="D21" s="241">
        <v>44642</v>
      </c>
      <c r="E21" s="205" t="s">
        <v>21</v>
      </c>
      <c r="F21" s="161">
        <v>9</v>
      </c>
      <c r="G21" s="198">
        <v>2759</v>
      </c>
      <c r="H21" s="199">
        <f t="shared" ref="H21:H84" si="5">+$K$3</f>
        <v>7.2418230508197396</v>
      </c>
      <c r="I21" s="199">
        <f t="shared" si="1"/>
        <v>4.7305566459474955</v>
      </c>
      <c r="J21" s="200">
        <f t="shared" si="2"/>
        <v>13051.605786169141</v>
      </c>
      <c r="K21" s="201">
        <f t="shared" ref="K21:K33" si="6">+$G21*H21</f>
        <v>19980.18979721166</v>
      </c>
      <c r="L21" s="202">
        <f t="shared" si="3"/>
        <v>-6928.5840110425197</v>
      </c>
      <c r="M21" s="203">
        <f t="shared" ref="M21:M84" si="7">G21/$G$212*$M$14</f>
        <v>-378.33624792343676</v>
      </c>
      <c r="N21" s="204">
        <f t="shared" ref="N21:N84" si="8">SUM(L21:M21)</f>
        <v>-7306.9202589659562</v>
      </c>
      <c r="O21" s="203">
        <f t="shared" ref="O21:O84" si="9">+$P$3</f>
        <v>0</v>
      </c>
      <c r="P21" s="203">
        <f t="shared" ref="P21:P84" si="10">+G21*O21</f>
        <v>0</v>
      </c>
      <c r="Q21" s="203">
        <v>0</v>
      </c>
      <c r="R21" s="204">
        <f t="shared" ref="R21:R84" si="11">+N21-Q21</f>
        <v>-7306.9202589659562</v>
      </c>
    </row>
    <row r="22" spans="1:18" x14ac:dyDescent="0.2">
      <c r="A22" s="161">
        <v>3</v>
      </c>
      <c r="B22" s="196">
        <f t="shared" si="4"/>
        <v>44621</v>
      </c>
      <c r="C22" s="241">
        <v>44656</v>
      </c>
      <c r="D22" s="241">
        <v>44676</v>
      </c>
      <c r="E22" s="205" t="s">
        <v>21</v>
      </c>
      <c r="F22" s="161">
        <v>9</v>
      </c>
      <c r="G22" s="198">
        <v>2450</v>
      </c>
      <c r="H22" s="199">
        <f t="shared" si="5"/>
        <v>7.2418230508197396</v>
      </c>
      <c r="I22" s="199">
        <f t="shared" si="1"/>
        <v>4.7305566459474955</v>
      </c>
      <c r="J22" s="200">
        <f t="shared" si="2"/>
        <v>11589.863782571363</v>
      </c>
      <c r="K22" s="201">
        <f t="shared" si="6"/>
        <v>17742.466474508361</v>
      </c>
      <c r="L22" s="202">
        <f t="shared" si="3"/>
        <v>-6152.6026919369979</v>
      </c>
      <c r="M22" s="203">
        <f t="shared" si="7"/>
        <v>-335.96368518028999</v>
      </c>
      <c r="N22" s="204">
        <f t="shared" si="8"/>
        <v>-6488.5663771172876</v>
      </c>
      <c r="O22" s="203">
        <f t="shared" si="9"/>
        <v>0</v>
      </c>
      <c r="P22" s="203">
        <f t="shared" si="10"/>
        <v>0</v>
      </c>
      <c r="Q22" s="203">
        <v>0</v>
      </c>
      <c r="R22" s="204">
        <f t="shared" si="11"/>
        <v>-6488.5663771172876</v>
      </c>
    </row>
    <row r="23" spans="1:18" x14ac:dyDescent="0.2">
      <c r="A23" s="125">
        <v>4</v>
      </c>
      <c r="B23" s="196">
        <f t="shared" si="4"/>
        <v>44652</v>
      </c>
      <c r="C23" s="241">
        <v>44685</v>
      </c>
      <c r="D23" s="241">
        <v>44705</v>
      </c>
      <c r="E23" s="205" t="s">
        <v>21</v>
      </c>
      <c r="F23" s="161">
        <v>9</v>
      </c>
      <c r="G23" s="198">
        <v>2395</v>
      </c>
      <c r="H23" s="199">
        <f t="shared" si="5"/>
        <v>7.2418230508197396</v>
      </c>
      <c r="I23" s="199">
        <f t="shared" si="1"/>
        <v>4.7305566459474955</v>
      </c>
      <c r="J23" s="200">
        <f t="shared" si="2"/>
        <v>11329.683167044252</v>
      </c>
      <c r="K23" s="201">
        <f t="shared" si="6"/>
        <v>17344.166206713275</v>
      </c>
      <c r="L23" s="202">
        <f t="shared" si="3"/>
        <v>-6014.4830396690231</v>
      </c>
      <c r="M23" s="203">
        <f t="shared" si="7"/>
        <v>-328.42164326807938</v>
      </c>
      <c r="N23" s="204">
        <f t="shared" si="8"/>
        <v>-6342.9046829371027</v>
      </c>
      <c r="O23" s="203">
        <f t="shared" si="9"/>
        <v>0</v>
      </c>
      <c r="P23" s="203">
        <f t="shared" si="10"/>
        <v>0</v>
      </c>
      <c r="Q23" s="203">
        <v>0</v>
      </c>
      <c r="R23" s="204">
        <f t="shared" si="11"/>
        <v>-6342.9046829371027</v>
      </c>
    </row>
    <row r="24" spans="1:18" ht="12" customHeight="1" x14ac:dyDescent="0.2">
      <c r="A24" s="161">
        <v>5</v>
      </c>
      <c r="B24" s="196">
        <f t="shared" si="4"/>
        <v>44682</v>
      </c>
      <c r="C24" s="241">
        <v>44715</v>
      </c>
      <c r="D24" s="241">
        <v>44735</v>
      </c>
      <c r="E24" s="54" t="s">
        <v>21</v>
      </c>
      <c r="F24" s="161">
        <v>9</v>
      </c>
      <c r="G24" s="198">
        <v>3482</v>
      </c>
      <c r="H24" s="199">
        <f t="shared" si="5"/>
        <v>7.2418230508197396</v>
      </c>
      <c r="I24" s="199">
        <f t="shared" si="1"/>
        <v>4.7305566459474955</v>
      </c>
      <c r="J24" s="200">
        <f t="shared" si="2"/>
        <v>16471.798241189179</v>
      </c>
      <c r="K24" s="201">
        <f t="shared" si="6"/>
        <v>25216.027862954332</v>
      </c>
      <c r="L24" s="202">
        <f t="shared" si="3"/>
        <v>-8744.2296217651528</v>
      </c>
      <c r="M24" s="203">
        <f t="shared" si="7"/>
        <v>-477.47981706031425</v>
      </c>
      <c r="N24" s="204">
        <f t="shared" si="8"/>
        <v>-9221.7094388254663</v>
      </c>
      <c r="O24" s="203">
        <f t="shared" si="9"/>
        <v>0</v>
      </c>
      <c r="P24" s="203">
        <f t="shared" si="10"/>
        <v>0</v>
      </c>
      <c r="Q24" s="203">
        <v>0</v>
      </c>
      <c r="R24" s="204">
        <f t="shared" si="11"/>
        <v>-9221.7094388254663</v>
      </c>
    </row>
    <row r="25" spans="1:18" x14ac:dyDescent="0.2">
      <c r="A25" s="161">
        <v>6</v>
      </c>
      <c r="B25" s="196">
        <f t="shared" si="4"/>
        <v>44713</v>
      </c>
      <c r="C25" s="241">
        <v>44747</v>
      </c>
      <c r="D25" s="241">
        <v>44767</v>
      </c>
      <c r="E25" s="54" t="s">
        <v>21</v>
      </c>
      <c r="F25" s="161">
        <v>9</v>
      </c>
      <c r="G25" s="198">
        <v>4006</v>
      </c>
      <c r="H25" s="199">
        <f t="shared" si="5"/>
        <v>7.2418230508197396</v>
      </c>
      <c r="I25" s="199">
        <f t="shared" si="1"/>
        <v>4.7305566459474955</v>
      </c>
      <c r="J25" s="200">
        <f t="shared" si="2"/>
        <v>18950.609923665666</v>
      </c>
      <c r="K25" s="201">
        <f t="shared" si="6"/>
        <v>29010.743141583876</v>
      </c>
      <c r="L25" s="206">
        <f t="shared" si="3"/>
        <v>-10060.13321791821</v>
      </c>
      <c r="M25" s="203">
        <f t="shared" si="7"/>
        <v>-549.33490727846606</v>
      </c>
      <c r="N25" s="204">
        <f t="shared" si="8"/>
        <v>-10609.468125196676</v>
      </c>
      <c r="O25" s="203">
        <f t="shared" si="9"/>
        <v>0</v>
      </c>
      <c r="P25" s="203">
        <f t="shared" si="10"/>
        <v>0</v>
      </c>
      <c r="Q25" s="203">
        <v>0</v>
      </c>
      <c r="R25" s="204">
        <f t="shared" si="11"/>
        <v>-10609.468125196676</v>
      </c>
    </row>
    <row r="26" spans="1:18" x14ac:dyDescent="0.2">
      <c r="A26" s="125">
        <v>7</v>
      </c>
      <c r="B26" s="196">
        <f t="shared" si="4"/>
        <v>44743</v>
      </c>
      <c r="C26" s="241">
        <v>44776</v>
      </c>
      <c r="D26" s="241">
        <v>44796</v>
      </c>
      <c r="E26" s="54" t="s">
        <v>21</v>
      </c>
      <c r="F26" s="161">
        <v>9</v>
      </c>
      <c r="G26" s="198">
        <v>4230</v>
      </c>
      <c r="H26" s="199">
        <f t="shared" si="5"/>
        <v>7.2418230508197396</v>
      </c>
      <c r="I26" s="199">
        <f t="shared" si="1"/>
        <v>4.7305566459474955</v>
      </c>
      <c r="J26" s="200">
        <f t="shared" si="2"/>
        <v>20010.254612357905</v>
      </c>
      <c r="K26" s="207">
        <f t="shared" si="6"/>
        <v>30632.911504967498</v>
      </c>
      <c r="L26" s="206">
        <f t="shared" si="3"/>
        <v>-10622.656892609593</v>
      </c>
      <c r="M26" s="203">
        <f t="shared" si="7"/>
        <v>-580.05158706637826</v>
      </c>
      <c r="N26" s="204">
        <f t="shared" si="8"/>
        <v>-11202.708479675972</v>
      </c>
      <c r="O26" s="203">
        <f t="shared" si="9"/>
        <v>0</v>
      </c>
      <c r="P26" s="203">
        <f t="shared" si="10"/>
        <v>0</v>
      </c>
      <c r="Q26" s="203">
        <v>0</v>
      </c>
      <c r="R26" s="204">
        <f t="shared" si="11"/>
        <v>-11202.708479675972</v>
      </c>
    </row>
    <row r="27" spans="1:18" x14ac:dyDescent="0.2">
      <c r="A27" s="161">
        <v>8</v>
      </c>
      <c r="B27" s="196">
        <f t="shared" si="4"/>
        <v>44774</v>
      </c>
      <c r="C27" s="241">
        <v>44809</v>
      </c>
      <c r="D27" s="241">
        <v>44827</v>
      </c>
      <c r="E27" s="54" t="s">
        <v>21</v>
      </c>
      <c r="F27" s="161">
        <v>9</v>
      </c>
      <c r="G27" s="198">
        <v>4151</v>
      </c>
      <c r="H27" s="199">
        <f t="shared" si="5"/>
        <v>7.2418230508197396</v>
      </c>
      <c r="I27" s="199">
        <f t="shared" si="1"/>
        <v>4.7305566459474955</v>
      </c>
      <c r="J27" s="200">
        <f t="shared" si="2"/>
        <v>19636.540637328053</v>
      </c>
      <c r="K27" s="207">
        <f t="shared" si="6"/>
        <v>30060.80748395274</v>
      </c>
      <c r="L27" s="206">
        <f t="shared" si="3"/>
        <v>-10424.266846624687</v>
      </c>
      <c r="M27" s="203">
        <f t="shared" si="7"/>
        <v>-569.21847231974846</v>
      </c>
      <c r="N27" s="204">
        <f t="shared" si="8"/>
        <v>-10993.485318944435</v>
      </c>
      <c r="O27" s="203">
        <f t="shared" si="9"/>
        <v>0</v>
      </c>
      <c r="P27" s="203">
        <f t="shared" si="10"/>
        <v>0</v>
      </c>
      <c r="Q27" s="203">
        <v>0</v>
      </c>
      <c r="R27" s="204">
        <f t="shared" si="11"/>
        <v>-10993.485318944435</v>
      </c>
    </row>
    <row r="28" spans="1:18" x14ac:dyDescent="0.2">
      <c r="A28" s="161">
        <v>9</v>
      </c>
      <c r="B28" s="196">
        <f t="shared" si="4"/>
        <v>44805</v>
      </c>
      <c r="C28" s="241">
        <v>44839</v>
      </c>
      <c r="D28" s="241">
        <v>44859</v>
      </c>
      <c r="E28" s="54" t="s">
        <v>21</v>
      </c>
      <c r="F28" s="161">
        <v>9</v>
      </c>
      <c r="G28" s="198">
        <v>3898</v>
      </c>
      <c r="H28" s="199">
        <f t="shared" si="5"/>
        <v>7.2418230508197396</v>
      </c>
      <c r="I28" s="199">
        <f t="shared" si="1"/>
        <v>4.7305566459474955</v>
      </c>
      <c r="J28" s="200">
        <f t="shared" si="2"/>
        <v>18439.709805903338</v>
      </c>
      <c r="K28" s="207">
        <f t="shared" si="6"/>
        <v>28228.626252095346</v>
      </c>
      <c r="L28" s="206">
        <f t="shared" si="3"/>
        <v>-9788.9164461920082</v>
      </c>
      <c r="M28" s="203">
        <f t="shared" si="7"/>
        <v>-534.52507952357985</v>
      </c>
      <c r="N28" s="204">
        <f t="shared" si="8"/>
        <v>-10323.441525715589</v>
      </c>
      <c r="O28" s="203">
        <f t="shared" si="9"/>
        <v>0</v>
      </c>
      <c r="P28" s="203">
        <f t="shared" si="10"/>
        <v>0</v>
      </c>
      <c r="Q28" s="203">
        <v>0</v>
      </c>
      <c r="R28" s="204">
        <f t="shared" si="11"/>
        <v>-10323.441525715589</v>
      </c>
    </row>
    <row r="29" spans="1:18" x14ac:dyDescent="0.2">
      <c r="A29" s="125">
        <v>10</v>
      </c>
      <c r="B29" s="196">
        <f t="shared" si="4"/>
        <v>44835</v>
      </c>
      <c r="C29" s="241">
        <v>44868</v>
      </c>
      <c r="D29" s="241">
        <v>44888</v>
      </c>
      <c r="E29" s="54" t="s">
        <v>21</v>
      </c>
      <c r="F29" s="161">
        <v>9</v>
      </c>
      <c r="G29" s="198">
        <v>2760</v>
      </c>
      <c r="H29" s="199">
        <f t="shared" si="5"/>
        <v>7.2418230508197396</v>
      </c>
      <c r="I29" s="199">
        <f t="shared" si="1"/>
        <v>4.7305566459474955</v>
      </c>
      <c r="J29" s="200">
        <f t="shared" si="2"/>
        <v>13056.336342815088</v>
      </c>
      <c r="K29" s="207">
        <f t="shared" si="6"/>
        <v>19987.431620262483</v>
      </c>
      <c r="L29" s="206">
        <f t="shared" si="3"/>
        <v>-6931.0952774473953</v>
      </c>
      <c r="M29" s="203">
        <f t="shared" si="7"/>
        <v>-378.47337595820426</v>
      </c>
      <c r="N29" s="204">
        <f t="shared" si="8"/>
        <v>-7309.5686534055994</v>
      </c>
      <c r="O29" s="203">
        <f t="shared" si="9"/>
        <v>0</v>
      </c>
      <c r="P29" s="203">
        <f t="shared" si="10"/>
        <v>0</v>
      </c>
      <c r="Q29" s="203">
        <v>0</v>
      </c>
      <c r="R29" s="204">
        <f t="shared" si="11"/>
        <v>-7309.5686534055994</v>
      </c>
    </row>
    <row r="30" spans="1:18" x14ac:dyDescent="0.2">
      <c r="A30" s="161">
        <v>11</v>
      </c>
      <c r="B30" s="196">
        <f t="shared" si="4"/>
        <v>44866</v>
      </c>
      <c r="C30" s="241">
        <v>44900</v>
      </c>
      <c r="D30" s="241">
        <v>44918</v>
      </c>
      <c r="E30" s="54" t="s">
        <v>21</v>
      </c>
      <c r="F30" s="161">
        <v>9</v>
      </c>
      <c r="G30" s="198">
        <v>2561</v>
      </c>
      <c r="H30" s="199">
        <f t="shared" si="5"/>
        <v>7.2418230508197396</v>
      </c>
      <c r="I30" s="199">
        <f t="shared" si="1"/>
        <v>4.7305566459474955</v>
      </c>
      <c r="J30" s="200">
        <f t="shared" si="2"/>
        <v>12114.955570271535</v>
      </c>
      <c r="K30" s="207">
        <f t="shared" si="6"/>
        <v>18546.308833149353</v>
      </c>
      <c r="L30" s="206">
        <f t="shared" si="3"/>
        <v>-6431.3532628778175</v>
      </c>
      <c r="M30" s="203">
        <f t="shared" si="7"/>
        <v>-351.18489703947864</v>
      </c>
      <c r="N30" s="204">
        <f t="shared" si="8"/>
        <v>-6782.5381599172961</v>
      </c>
      <c r="O30" s="203">
        <f t="shared" si="9"/>
        <v>0</v>
      </c>
      <c r="P30" s="203">
        <f t="shared" si="10"/>
        <v>0</v>
      </c>
      <c r="Q30" s="203">
        <v>0</v>
      </c>
      <c r="R30" s="204">
        <f t="shared" si="11"/>
        <v>-6782.5381599172961</v>
      </c>
    </row>
    <row r="31" spans="1:18" x14ac:dyDescent="0.2">
      <c r="A31" s="161">
        <v>12</v>
      </c>
      <c r="B31" s="196">
        <f t="shared" si="4"/>
        <v>44896</v>
      </c>
      <c r="C31" s="242">
        <v>44930</v>
      </c>
      <c r="D31" s="243">
        <v>44950</v>
      </c>
      <c r="E31" s="54" t="s">
        <v>21</v>
      </c>
      <c r="F31" s="161">
        <v>9</v>
      </c>
      <c r="G31" s="198">
        <v>3150</v>
      </c>
      <c r="H31" s="208">
        <f t="shared" si="5"/>
        <v>7.2418230508197396</v>
      </c>
      <c r="I31" s="208">
        <f t="shared" si="1"/>
        <v>4.7305566459474955</v>
      </c>
      <c r="J31" s="209">
        <f t="shared" si="2"/>
        <v>14901.25343473461</v>
      </c>
      <c r="K31" s="210">
        <f t="shared" si="6"/>
        <v>22811.742610082179</v>
      </c>
      <c r="L31" s="211">
        <f t="shared" si="3"/>
        <v>-7910.4891753475695</v>
      </c>
      <c r="M31" s="203">
        <f t="shared" si="7"/>
        <v>-431.95330951751572</v>
      </c>
      <c r="N31" s="204">
        <f t="shared" si="8"/>
        <v>-8342.4424848650851</v>
      </c>
      <c r="O31" s="203">
        <f t="shared" si="9"/>
        <v>0</v>
      </c>
      <c r="P31" s="203">
        <f t="shared" si="10"/>
        <v>0</v>
      </c>
      <c r="Q31" s="203">
        <v>0</v>
      </c>
      <c r="R31" s="204">
        <f t="shared" si="11"/>
        <v>-8342.4424848650851</v>
      </c>
    </row>
    <row r="32" spans="1:18" x14ac:dyDescent="0.2">
      <c r="A32" s="125">
        <v>1</v>
      </c>
      <c r="B32" s="212">
        <f t="shared" si="4"/>
        <v>44562</v>
      </c>
      <c r="C32" s="213">
        <f t="shared" ref="C32:D43" si="12">+C20</f>
        <v>44595</v>
      </c>
      <c r="D32" s="213">
        <f t="shared" si="12"/>
        <v>44615</v>
      </c>
      <c r="E32" s="214" t="s">
        <v>22</v>
      </c>
      <c r="F32" s="215">
        <v>9</v>
      </c>
      <c r="G32" s="198">
        <v>2921</v>
      </c>
      <c r="H32" s="199">
        <f t="shared" si="5"/>
        <v>7.2418230508197396</v>
      </c>
      <c r="I32" s="199">
        <f t="shared" si="1"/>
        <v>4.7305566459474955</v>
      </c>
      <c r="J32" s="200">
        <f t="shared" si="2"/>
        <v>13817.955962812634</v>
      </c>
      <c r="K32" s="201">
        <f t="shared" si="6"/>
        <v>21153.365131444458</v>
      </c>
      <c r="L32" s="202">
        <f t="shared" si="3"/>
        <v>-7335.4091686318243</v>
      </c>
      <c r="M32" s="203">
        <f t="shared" si="7"/>
        <v>-400.55098955576619</v>
      </c>
      <c r="N32" s="204">
        <f t="shared" si="8"/>
        <v>-7735.9601581875904</v>
      </c>
      <c r="O32" s="203">
        <f t="shared" si="9"/>
        <v>0</v>
      </c>
      <c r="P32" s="203">
        <f t="shared" si="10"/>
        <v>0</v>
      </c>
      <c r="Q32" s="203">
        <v>0</v>
      </c>
      <c r="R32" s="204">
        <f t="shared" si="11"/>
        <v>-7735.9601581875904</v>
      </c>
    </row>
    <row r="33" spans="1:18" x14ac:dyDescent="0.2">
      <c r="A33" s="161">
        <v>2</v>
      </c>
      <c r="B33" s="196">
        <f t="shared" si="4"/>
        <v>44593</v>
      </c>
      <c r="C33" s="216">
        <f t="shared" si="12"/>
        <v>44623</v>
      </c>
      <c r="D33" s="216">
        <f t="shared" si="12"/>
        <v>44642</v>
      </c>
      <c r="E33" s="205" t="s">
        <v>22</v>
      </c>
      <c r="F33" s="161">
        <v>9</v>
      </c>
      <c r="G33" s="198">
        <v>2853</v>
      </c>
      <c r="H33" s="199">
        <f t="shared" si="5"/>
        <v>7.2418230508197396</v>
      </c>
      <c r="I33" s="199">
        <f t="shared" si="1"/>
        <v>4.7305566459474955</v>
      </c>
      <c r="J33" s="200">
        <f t="shared" si="2"/>
        <v>13496.278110888205</v>
      </c>
      <c r="K33" s="201">
        <f t="shared" si="6"/>
        <v>20660.921163988718</v>
      </c>
      <c r="L33" s="202">
        <f t="shared" si="3"/>
        <v>-7164.6430531005135</v>
      </c>
      <c r="M33" s="203">
        <f t="shared" si="7"/>
        <v>-391.22628319157855</v>
      </c>
      <c r="N33" s="204">
        <f t="shared" si="8"/>
        <v>-7555.8693362920922</v>
      </c>
      <c r="O33" s="203">
        <f t="shared" si="9"/>
        <v>0</v>
      </c>
      <c r="P33" s="203">
        <f t="shared" si="10"/>
        <v>0</v>
      </c>
      <c r="Q33" s="203">
        <v>0</v>
      </c>
      <c r="R33" s="204">
        <f t="shared" si="11"/>
        <v>-7555.8693362920922</v>
      </c>
    </row>
    <row r="34" spans="1:18" x14ac:dyDescent="0.2">
      <c r="A34" s="161">
        <v>3</v>
      </c>
      <c r="B34" s="196">
        <f t="shared" si="4"/>
        <v>44621</v>
      </c>
      <c r="C34" s="216">
        <f t="shared" si="12"/>
        <v>44656</v>
      </c>
      <c r="D34" s="216">
        <f t="shared" si="12"/>
        <v>44676</v>
      </c>
      <c r="E34" s="205" t="s">
        <v>22</v>
      </c>
      <c r="F34" s="161">
        <v>9</v>
      </c>
      <c r="G34" s="198">
        <v>2560</v>
      </c>
      <c r="H34" s="199">
        <f t="shared" si="5"/>
        <v>7.2418230508197396</v>
      </c>
      <c r="I34" s="199">
        <f t="shared" si="1"/>
        <v>4.7305566459474955</v>
      </c>
      <c r="J34" s="200">
        <f t="shared" si="2"/>
        <v>12110.225013625588</v>
      </c>
      <c r="K34" s="201">
        <f t="shared" ref="K34:K93" si="13">+$G34*H34</f>
        <v>18539.067010098534</v>
      </c>
      <c r="L34" s="202">
        <f t="shared" si="3"/>
        <v>-6428.8419964729455</v>
      </c>
      <c r="M34" s="203">
        <f t="shared" si="7"/>
        <v>-351.0477690047112</v>
      </c>
      <c r="N34" s="204">
        <f t="shared" si="8"/>
        <v>-6779.8897654776565</v>
      </c>
      <c r="O34" s="203">
        <f t="shared" si="9"/>
        <v>0</v>
      </c>
      <c r="P34" s="203">
        <f t="shared" si="10"/>
        <v>0</v>
      </c>
      <c r="Q34" s="203">
        <v>0</v>
      </c>
      <c r="R34" s="204">
        <f t="shared" si="11"/>
        <v>-6779.8897654776565</v>
      </c>
    </row>
    <row r="35" spans="1:18" x14ac:dyDescent="0.2">
      <c r="A35" s="125">
        <v>4</v>
      </c>
      <c r="B35" s="196">
        <f t="shared" si="4"/>
        <v>44652</v>
      </c>
      <c r="C35" s="216">
        <f t="shared" si="12"/>
        <v>44685</v>
      </c>
      <c r="D35" s="216">
        <f t="shared" si="12"/>
        <v>44705</v>
      </c>
      <c r="E35" s="205" t="s">
        <v>22</v>
      </c>
      <c r="F35" s="161">
        <v>9</v>
      </c>
      <c r="G35" s="198">
        <v>2434</v>
      </c>
      <c r="H35" s="199">
        <f t="shared" si="5"/>
        <v>7.2418230508197396</v>
      </c>
      <c r="I35" s="199">
        <f t="shared" si="1"/>
        <v>4.7305566459474955</v>
      </c>
      <c r="J35" s="200">
        <f t="shared" si="2"/>
        <v>11514.174876236204</v>
      </c>
      <c r="K35" s="201">
        <f t="shared" si="13"/>
        <v>17626.597305695246</v>
      </c>
      <c r="L35" s="202">
        <f t="shared" ref="L35:L57" si="14">+J35-K35</f>
        <v>-6112.4224294590422</v>
      </c>
      <c r="M35" s="203">
        <f t="shared" si="7"/>
        <v>-333.76963662401056</v>
      </c>
      <c r="N35" s="204">
        <f t="shared" si="8"/>
        <v>-6446.1920660830529</v>
      </c>
      <c r="O35" s="203">
        <f t="shared" si="9"/>
        <v>0</v>
      </c>
      <c r="P35" s="203">
        <f t="shared" si="10"/>
        <v>0</v>
      </c>
      <c r="Q35" s="203">
        <v>0</v>
      </c>
      <c r="R35" s="204">
        <f t="shared" si="11"/>
        <v>-6446.1920660830529</v>
      </c>
    </row>
    <row r="36" spans="1:18" x14ac:dyDescent="0.2">
      <c r="A36" s="161">
        <v>5</v>
      </c>
      <c r="B36" s="196">
        <f t="shared" si="4"/>
        <v>44682</v>
      </c>
      <c r="C36" s="216">
        <f t="shared" si="12"/>
        <v>44715</v>
      </c>
      <c r="D36" s="216">
        <f t="shared" si="12"/>
        <v>44735</v>
      </c>
      <c r="E36" s="54" t="s">
        <v>22</v>
      </c>
      <c r="F36" s="161">
        <v>9</v>
      </c>
      <c r="G36" s="198">
        <v>3117</v>
      </c>
      <c r="H36" s="199">
        <f t="shared" si="5"/>
        <v>7.2418230508197396</v>
      </c>
      <c r="I36" s="199">
        <f t="shared" si="1"/>
        <v>4.7305566459474955</v>
      </c>
      <c r="J36" s="200">
        <f t="shared" si="2"/>
        <v>14745.145065418343</v>
      </c>
      <c r="K36" s="201">
        <f t="shared" si="13"/>
        <v>22572.762449405127</v>
      </c>
      <c r="L36" s="202">
        <f t="shared" si="14"/>
        <v>-7827.6173839867843</v>
      </c>
      <c r="M36" s="203">
        <f t="shared" si="7"/>
        <v>-427.42808437018937</v>
      </c>
      <c r="N36" s="204">
        <f t="shared" si="8"/>
        <v>-8255.0454683569733</v>
      </c>
      <c r="O36" s="203">
        <f t="shared" si="9"/>
        <v>0</v>
      </c>
      <c r="P36" s="203">
        <f t="shared" si="10"/>
        <v>0</v>
      </c>
      <c r="Q36" s="203">
        <v>0</v>
      </c>
      <c r="R36" s="204">
        <f t="shared" si="11"/>
        <v>-8255.0454683569733</v>
      </c>
    </row>
    <row r="37" spans="1:18" x14ac:dyDescent="0.2">
      <c r="A37" s="161">
        <v>6</v>
      </c>
      <c r="B37" s="196">
        <f t="shared" si="4"/>
        <v>44713</v>
      </c>
      <c r="C37" s="216">
        <f t="shared" si="12"/>
        <v>44747</v>
      </c>
      <c r="D37" s="216">
        <f t="shared" si="12"/>
        <v>44767</v>
      </c>
      <c r="E37" s="54" t="s">
        <v>22</v>
      </c>
      <c r="F37" s="161">
        <v>9</v>
      </c>
      <c r="G37" s="198">
        <v>3536</v>
      </c>
      <c r="H37" s="199">
        <f t="shared" si="5"/>
        <v>7.2418230508197396</v>
      </c>
      <c r="I37" s="199">
        <f t="shared" si="1"/>
        <v>4.7305566459474955</v>
      </c>
      <c r="J37" s="200">
        <f t="shared" si="2"/>
        <v>16727.248300070343</v>
      </c>
      <c r="K37" s="201">
        <f t="shared" si="13"/>
        <v>25607.086307698599</v>
      </c>
      <c r="L37" s="206">
        <f t="shared" si="14"/>
        <v>-8879.8380076282556</v>
      </c>
      <c r="M37" s="203">
        <f t="shared" si="7"/>
        <v>-484.88473093775735</v>
      </c>
      <c r="N37" s="204">
        <f t="shared" si="8"/>
        <v>-9364.7227385660135</v>
      </c>
      <c r="O37" s="203">
        <f t="shared" si="9"/>
        <v>0</v>
      </c>
      <c r="P37" s="203">
        <f t="shared" si="10"/>
        <v>0</v>
      </c>
      <c r="Q37" s="203">
        <v>0</v>
      </c>
      <c r="R37" s="204">
        <f t="shared" si="11"/>
        <v>-9364.7227385660135</v>
      </c>
    </row>
    <row r="38" spans="1:18" x14ac:dyDescent="0.2">
      <c r="A38" s="125">
        <v>7</v>
      </c>
      <c r="B38" s="196">
        <f t="shared" si="4"/>
        <v>44743</v>
      </c>
      <c r="C38" s="216">
        <f t="shared" si="12"/>
        <v>44776</v>
      </c>
      <c r="D38" s="216">
        <f t="shared" si="12"/>
        <v>44796</v>
      </c>
      <c r="E38" s="54" t="s">
        <v>22</v>
      </c>
      <c r="F38" s="161">
        <v>9</v>
      </c>
      <c r="G38" s="198">
        <v>3696</v>
      </c>
      <c r="H38" s="199">
        <f t="shared" si="5"/>
        <v>7.2418230508197396</v>
      </c>
      <c r="I38" s="199">
        <f t="shared" si="1"/>
        <v>4.7305566459474955</v>
      </c>
      <c r="J38" s="200">
        <f t="shared" si="2"/>
        <v>17484.137363421942</v>
      </c>
      <c r="K38" s="207">
        <f t="shared" si="13"/>
        <v>26765.777995829758</v>
      </c>
      <c r="L38" s="206">
        <f t="shared" si="14"/>
        <v>-9281.6406324078162</v>
      </c>
      <c r="M38" s="203">
        <f t="shared" si="7"/>
        <v>-506.82521650055185</v>
      </c>
      <c r="N38" s="204">
        <f t="shared" si="8"/>
        <v>-9788.4658489083686</v>
      </c>
      <c r="O38" s="203">
        <f t="shared" si="9"/>
        <v>0</v>
      </c>
      <c r="P38" s="203">
        <f t="shared" si="10"/>
        <v>0</v>
      </c>
      <c r="Q38" s="203">
        <v>0</v>
      </c>
      <c r="R38" s="204">
        <f t="shared" si="11"/>
        <v>-9788.4658489083686</v>
      </c>
    </row>
    <row r="39" spans="1:18" x14ac:dyDescent="0.2">
      <c r="A39" s="161">
        <v>8</v>
      </c>
      <c r="B39" s="196">
        <f t="shared" si="4"/>
        <v>44774</v>
      </c>
      <c r="C39" s="216">
        <f t="shared" si="12"/>
        <v>44809</v>
      </c>
      <c r="D39" s="216">
        <f t="shared" si="12"/>
        <v>44827</v>
      </c>
      <c r="E39" s="54" t="s">
        <v>22</v>
      </c>
      <c r="F39" s="161">
        <v>9</v>
      </c>
      <c r="G39" s="198">
        <v>3632</v>
      </c>
      <c r="H39" s="199">
        <f t="shared" si="5"/>
        <v>7.2418230508197396</v>
      </c>
      <c r="I39" s="199">
        <f t="shared" si="1"/>
        <v>4.7305566459474955</v>
      </c>
      <c r="J39" s="200">
        <f t="shared" si="2"/>
        <v>17181.381738081305</v>
      </c>
      <c r="K39" s="207">
        <f t="shared" si="13"/>
        <v>26302.301320577295</v>
      </c>
      <c r="L39" s="206">
        <f t="shared" si="14"/>
        <v>-9120.9195824959897</v>
      </c>
      <c r="M39" s="203">
        <f t="shared" si="7"/>
        <v>-498.04902227543403</v>
      </c>
      <c r="N39" s="204">
        <f t="shared" si="8"/>
        <v>-9618.968604771424</v>
      </c>
      <c r="O39" s="203">
        <f t="shared" si="9"/>
        <v>0</v>
      </c>
      <c r="P39" s="203">
        <f t="shared" si="10"/>
        <v>0</v>
      </c>
      <c r="Q39" s="203">
        <v>0</v>
      </c>
      <c r="R39" s="204">
        <f t="shared" si="11"/>
        <v>-9618.968604771424</v>
      </c>
    </row>
    <row r="40" spans="1:18" x14ac:dyDescent="0.2">
      <c r="A40" s="161">
        <v>9</v>
      </c>
      <c r="B40" s="196">
        <f t="shared" si="4"/>
        <v>44805</v>
      </c>
      <c r="C40" s="216">
        <f t="shared" si="12"/>
        <v>44839</v>
      </c>
      <c r="D40" s="216">
        <f t="shared" si="12"/>
        <v>44859</v>
      </c>
      <c r="E40" s="54" t="s">
        <v>22</v>
      </c>
      <c r="F40" s="161">
        <v>9</v>
      </c>
      <c r="G40" s="198">
        <v>3337</v>
      </c>
      <c r="H40" s="199">
        <f t="shared" si="5"/>
        <v>7.2418230508197396</v>
      </c>
      <c r="I40" s="199">
        <f t="shared" si="1"/>
        <v>4.7305566459474955</v>
      </c>
      <c r="J40" s="200">
        <f t="shared" si="2"/>
        <v>15785.867527526792</v>
      </c>
      <c r="K40" s="207">
        <f t="shared" si="13"/>
        <v>24165.963520585472</v>
      </c>
      <c r="L40" s="206">
        <f t="shared" si="14"/>
        <v>-8380.0959930586796</v>
      </c>
      <c r="M40" s="203">
        <f t="shared" si="7"/>
        <v>-457.59625201903174</v>
      </c>
      <c r="N40" s="204">
        <f t="shared" si="8"/>
        <v>-8837.692245077711</v>
      </c>
      <c r="O40" s="203">
        <f t="shared" si="9"/>
        <v>0</v>
      </c>
      <c r="P40" s="203">
        <f t="shared" si="10"/>
        <v>0</v>
      </c>
      <c r="Q40" s="203">
        <v>0</v>
      </c>
      <c r="R40" s="204">
        <f t="shared" si="11"/>
        <v>-8837.692245077711</v>
      </c>
    </row>
    <row r="41" spans="1:18" x14ac:dyDescent="0.2">
      <c r="A41" s="125">
        <v>10</v>
      </c>
      <c r="B41" s="196">
        <f t="shared" si="4"/>
        <v>44835</v>
      </c>
      <c r="C41" s="216">
        <f t="shared" si="12"/>
        <v>44868</v>
      </c>
      <c r="D41" s="216">
        <f t="shared" si="12"/>
        <v>44888</v>
      </c>
      <c r="E41" s="54" t="s">
        <v>22</v>
      </c>
      <c r="F41" s="161">
        <v>9</v>
      </c>
      <c r="G41" s="198">
        <v>2496</v>
      </c>
      <c r="H41" s="199">
        <f t="shared" si="5"/>
        <v>7.2418230508197396</v>
      </c>
      <c r="I41" s="199">
        <f t="shared" si="1"/>
        <v>4.7305566459474955</v>
      </c>
      <c r="J41" s="200">
        <f t="shared" si="2"/>
        <v>11807.469388284948</v>
      </c>
      <c r="K41" s="207">
        <f t="shared" si="13"/>
        <v>18075.590334846071</v>
      </c>
      <c r="L41" s="206">
        <f t="shared" si="14"/>
        <v>-6268.1209465611228</v>
      </c>
      <c r="M41" s="203">
        <f t="shared" si="7"/>
        <v>-342.27157477959338</v>
      </c>
      <c r="N41" s="204">
        <f t="shared" si="8"/>
        <v>-6610.3925213407165</v>
      </c>
      <c r="O41" s="203">
        <f t="shared" si="9"/>
        <v>0</v>
      </c>
      <c r="P41" s="203">
        <f t="shared" si="10"/>
        <v>0</v>
      </c>
      <c r="Q41" s="203">
        <v>0</v>
      </c>
      <c r="R41" s="204">
        <f t="shared" si="11"/>
        <v>-6610.3925213407165</v>
      </c>
    </row>
    <row r="42" spans="1:18" x14ac:dyDescent="0.2">
      <c r="A42" s="161">
        <v>11</v>
      </c>
      <c r="B42" s="196">
        <f t="shared" si="4"/>
        <v>44866</v>
      </c>
      <c r="C42" s="216">
        <f t="shared" si="12"/>
        <v>44900</v>
      </c>
      <c r="D42" s="216">
        <f t="shared" si="12"/>
        <v>44918</v>
      </c>
      <c r="E42" s="54" t="s">
        <v>22</v>
      </c>
      <c r="F42" s="161">
        <v>9</v>
      </c>
      <c r="G42" s="198">
        <v>2518</v>
      </c>
      <c r="H42" s="199">
        <f t="shared" si="5"/>
        <v>7.2418230508197396</v>
      </c>
      <c r="I42" s="199">
        <f t="shared" si="1"/>
        <v>4.7305566459474955</v>
      </c>
      <c r="J42" s="200">
        <f t="shared" si="2"/>
        <v>11911.541634495794</v>
      </c>
      <c r="K42" s="207">
        <f t="shared" si="13"/>
        <v>18234.910441964104</v>
      </c>
      <c r="L42" s="206">
        <f t="shared" si="14"/>
        <v>-6323.3688074683105</v>
      </c>
      <c r="M42" s="203">
        <f t="shared" si="7"/>
        <v>-345.28839154447763</v>
      </c>
      <c r="N42" s="204">
        <f t="shared" si="8"/>
        <v>-6668.6571990127877</v>
      </c>
      <c r="O42" s="203">
        <f t="shared" si="9"/>
        <v>0</v>
      </c>
      <c r="P42" s="203">
        <f t="shared" si="10"/>
        <v>0</v>
      </c>
      <c r="Q42" s="203">
        <v>0</v>
      </c>
      <c r="R42" s="204">
        <f t="shared" si="11"/>
        <v>-6668.6571990127877</v>
      </c>
    </row>
    <row r="43" spans="1:18" x14ac:dyDescent="0.2">
      <c r="A43" s="161">
        <v>12</v>
      </c>
      <c r="B43" s="196">
        <f t="shared" si="4"/>
        <v>44896</v>
      </c>
      <c r="C43" s="216">
        <f t="shared" si="12"/>
        <v>44930</v>
      </c>
      <c r="D43" s="216">
        <f t="shared" si="12"/>
        <v>44950</v>
      </c>
      <c r="E43" s="54" t="s">
        <v>22</v>
      </c>
      <c r="F43" s="161">
        <v>9</v>
      </c>
      <c r="G43" s="198">
        <v>3399</v>
      </c>
      <c r="H43" s="208">
        <f t="shared" si="5"/>
        <v>7.2418230508197396</v>
      </c>
      <c r="I43" s="208">
        <f t="shared" si="1"/>
        <v>4.7305566459474955</v>
      </c>
      <c r="J43" s="209">
        <f t="shared" si="2"/>
        <v>16079.162039575536</v>
      </c>
      <c r="K43" s="210">
        <f t="shared" si="13"/>
        <v>24614.956549736296</v>
      </c>
      <c r="L43" s="211">
        <f t="shared" si="14"/>
        <v>-8535.7945101607602</v>
      </c>
      <c r="M43" s="203">
        <f t="shared" si="7"/>
        <v>-466.09819017461456</v>
      </c>
      <c r="N43" s="204">
        <f t="shared" si="8"/>
        <v>-9001.8927003353747</v>
      </c>
      <c r="O43" s="203">
        <f t="shared" si="9"/>
        <v>0</v>
      </c>
      <c r="P43" s="203">
        <f t="shared" si="10"/>
        <v>0</v>
      </c>
      <c r="Q43" s="203">
        <v>0</v>
      </c>
      <c r="R43" s="204">
        <f t="shared" si="11"/>
        <v>-9001.8927003353747</v>
      </c>
    </row>
    <row r="44" spans="1:18" x14ac:dyDescent="0.2">
      <c r="A44" s="125">
        <v>1</v>
      </c>
      <c r="B44" s="212">
        <f t="shared" ref="B44:B55" si="15">DATE($R$1,A44,1)</f>
        <v>44562</v>
      </c>
      <c r="C44" s="213">
        <f t="shared" ref="C44:D55" si="16">+C32</f>
        <v>44595</v>
      </c>
      <c r="D44" s="213">
        <f t="shared" si="16"/>
        <v>44615</v>
      </c>
      <c r="E44" s="214" t="s">
        <v>82</v>
      </c>
      <c r="F44" s="215">
        <v>9</v>
      </c>
      <c r="G44" s="198">
        <v>163</v>
      </c>
      <c r="H44" s="199">
        <f t="shared" si="5"/>
        <v>7.2418230508197396</v>
      </c>
      <c r="I44" s="199">
        <f t="shared" si="1"/>
        <v>4.7305566459474955</v>
      </c>
      <c r="J44" s="203">
        <f t="shared" ref="J44:J55" si="17">+$G44*I44</f>
        <v>771.08073328944181</v>
      </c>
      <c r="K44" s="207">
        <f t="shared" ref="K44:K55" si="18">+$G44*H44</f>
        <v>1180.4171572836176</v>
      </c>
      <c r="L44" s="206">
        <f t="shared" ref="L44:L55" si="19">+J44-K44</f>
        <v>-409.33642399417579</v>
      </c>
      <c r="M44" s="203">
        <f t="shared" si="7"/>
        <v>-22.351869667096846</v>
      </c>
      <c r="N44" s="204">
        <f t="shared" si="8"/>
        <v>-431.68829366127261</v>
      </c>
      <c r="O44" s="203">
        <f t="shared" si="9"/>
        <v>0</v>
      </c>
      <c r="P44" s="203">
        <f t="shared" si="10"/>
        <v>0</v>
      </c>
      <c r="Q44" s="203">
        <v>0</v>
      </c>
      <c r="R44" s="204">
        <f t="shared" si="11"/>
        <v>-431.68829366127261</v>
      </c>
    </row>
    <row r="45" spans="1:18" x14ac:dyDescent="0.2">
      <c r="A45" s="161">
        <v>2</v>
      </c>
      <c r="B45" s="196">
        <f t="shared" si="15"/>
        <v>44593</v>
      </c>
      <c r="C45" s="216">
        <f t="shared" si="16"/>
        <v>44623</v>
      </c>
      <c r="D45" s="216">
        <f t="shared" si="16"/>
        <v>44642</v>
      </c>
      <c r="E45" s="205" t="s">
        <v>82</v>
      </c>
      <c r="F45" s="161">
        <v>9</v>
      </c>
      <c r="G45" s="198">
        <v>155</v>
      </c>
      <c r="H45" s="199">
        <f t="shared" si="5"/>
        <v>7.2418230508197396</v>
      </c>
      <c r="I45" s="199">
        <f t="shared" si="1"/>
        <v>4.7305566459474955</v>
      </c>
      <c r="J45" s="203">
        <f t="shared" si="17"/>
        <v>733.2362801218618</v>
      </c>
      <c r="K45" s="207">
        <f t="shared" si="18"/>
        <v>1122.4825728770597</v>
      </c>
      <c r="L45" s="206">
        <f t="shared" si="19"/>
        <v>-389.24629275519794</v>
      </c>
      <c r="M45" s="203">
        <f t="shared" si="7"/>
        <v>-21.254845388957122</v>
      </c>
      <c r="N45" s="204">
        <f t="shared" si="8"/>
        <v>-410.50113814415505</v>
      </c>
      <c r="O45" s="203">
        <f t="shared" si="9"/>
        <v>0</v>
      </c>
      <c r="P45" s="203">
        <f t="shared" si="10"/>
        <v>0</v>
      </c>
      <c r="Q45" s="203">
        <v>0</v>
      </c>
      <c r="R45" s="204">
        <f t="shared" si="11"/>
        <v>-410.50113814415505</v>
      </c>
    </row>
    <row r="46" spans="1:18" x14ac:dyDescent="0.2">
      <c r="A46" s="161">
        <v>3</v>
      </c>
      <c r="B46" s="196">
        <f t="shared" si="15"/>
        <v>44621</v>
      </c>
      <c r="C46" s="216">
        <f t="shared" si="16"/>
        <v>44656</v>
      </c>
      <c r="D46" s="216">
        <f t="shared" si="16"/>
        <v>44676</v>
      </c>
      <c r="E46" s="205" t="s">
        <v>82</v>
      </c>
      <c r="F46" s="161">
        <v>9</v>
      </c>
      <c r="G46" s="198">
        <v>141</v>
      </c>
      <c r="H46" s="199">
        <f t="shared" si="5"/>
        <v>7.2418230508197396</v>
      </c>
      <c r="I46" s="199">
        <f t="shared" si="1"/>
        <v>4.7305566459474955</v>
      </c>
      <c r="J46" s="203">
        <f t="shared" si="17"/>
        <v>667.00848707859689</v>
      </c>
      <c r="K46" s="207">
        <f t="shared" si="18"/>
        <v>1021.0970501655833</v>
      </c>
      <c r="L46" s="206">
        <f t="shared" si="19"/>
        <v>-354.08856308698637</v>
      </c>
      <c r="M46" s="203">
        <f t="shared" si="7"/>
        <v>-19.33505290221261</v>
      </c>
      <c r="N46" s="204">
        <f t="shared" si="8"/>
        <v>-373.42361598919899</v>
      </c>
      <c r="O46" s="203">
        <f t="shared" si="9"/>
        <v>0</v>
      </c>
      <c r="P46" s="203">
        <f t="shared" si="10"/>
        <v>0</v>
      </c>
      <c r="Q46" s="203">
        <v>0</v>
      </c>
      <c r="R46" s="204">
        <f t="shared" si="11"/>
        <v>-373.42361598919899</v>
      </c>
    </row>
    <row r="47" spans="1:18" x14ac:dyDescent="0.2">
      <c r="A47" s="125">
        <v>4</v>
      </c>
      <c r="B47" s="196">
        <f t="shared" si="15"/>
        <v>44652</v>
      </c>
      <c r="C47" s="216">
        <f t="shared" si="16"/>
        <v>44685</v>
      </c>
      <c r="D47" s="216">
        <f t="shared" si="16"/>
        <v>44705</v>
      </c>
      <c r="E47" s="205" t="s">
        <v>82</v>
      </c>
      <c r="F47" s="161">
        <v>9</v>
      </c>
      <c r="G47" s="198">
        <v>92</v>
      </c>
      <c r="H47" s="199">
        <f t="shared" si="5"/>
        <v>7.2418230508197396</v>
      </c>
      <c r="I47" s="199">
        <f t="shared" si="1"/>
        <v>4.7305566459474955</v>
      </c>
      <c r="J47" s="203">
        <f t="shared" si="17"/>
        <v>435.21121142716959</v>
      </c>
      <c r="K47" s="207">
        <f t="shared" si="18"/>
        <v>666.24772067541608</v>
      </c>
      <c r="L47" s="206">
        <f t="shared" si="19"/>
        <v>-231.03650924824649</v>
      </c>
      <c r="M47" s="203">
        <f t="shared" si="7"/>
        <v>-12.615779198606809</v>
      </c>
      <c r="N47" s="204">
        <f t="shared" si="8"/>
        <v>-243.65228844685331</v>
      </c>
      <c r="O47" s="203">
        <f t="shared" si="9"/>
        <v>0</v>
      </c>
      <c r="P47" s="203">
        <f t="shared" si="10"/>
        <v>0</v>
      </c>
      <c r="Q47" s="203">
        <v>0</v>
      </c>
      <c r="R47" s="204">
        <f t="shared" si="11"/>
        <v>-243.65228844685331</v>
      </c>
    </row>
    <row r="48" spans="1:18" x14ac:dyDescent="0.2">
      <c r="A48" s="161">
        <v>5</v>
      </c>
      <c r="B48" s="196">
        <f t="shared" si="15"/>
        <v>44682</v>
      </c>
      <c r="C48" s="216">
        <f t="shared" si="16"/>
        <v>44715</v>
      </c>
      <c r="D48" s="216">
        <f t="shared" si="16"/>
        <v>44735</v>
      </c>
      <c r="E48" s="205" t="s">
        <v>82</v>
      </c>
      <c r="F48" s="161">
        <v>9</v>
      </c>
      <c r="G48" s="198">
        <v>131</v>
      </c>
      <c r="H48" s="199">
        <f t="shared" si="5"/>
        <v>7.2418230508197396</v>
      </c>
      <c r="I48" s="199">
        <f t="shared" si="1"/>
        <v>4.7305566459474955</v>
      </c>
      <c r="J48" s="203">
        <f t="shared" si="17"/>
        <v>619.70292061912187</v>
      </c>
      <c r="K48" s="207">
        <f t="shared" si="18"/>
        <v>948.67881965738593</v>
      </c>
      <c r="L48" s="206">
        <f t="shared" si="19"/>
        <v>-328.97589903826406</v>
      </c>
      <c r="M48" s="203">
        <f t="shared" si="7"/>
        <v>-17.963772554537957</v>
      </c>
      <c r="N48" s="204">
        <f t="shared" si="8"/>
        <v>-346.93967159280203</v>
      </c>
      <c r="O48" s="203">
        <f t="shared" si="9"/>
        <v>0</v>
      </c>
      <c r="P48" s="203">
        <f t="shared" si="10"/>
        <v>0</v>
      </c>
      <c r="Q48" s="203">
        <v>0</v>
      </c>
      <c r="R48" s="204">
        <f t="shared" si="11"/>
        <v>-346.93967159280203</v>
      </c>
    </row>
    <row r="49" spans="1:18" x14ac:dyDescent="0.2">
      <c r="A49" s="161">
        <v>6</v>
      </c>
      <c r="B49" s="196">
        <f t="shared" si="15"/>
        <v>44713</v>
      </c>
      <c r="C49" s="216">
        <f t="shared" si="16"/>
        <v>44747</v>
      </c>
      <c r="D49" s="216">
        <f t="shared" si="16"/>
        <v>44767</v>
      </c>
      <c r="E49" s="205" t="s">
        <v>82</v>
      </c>
      <c r="F49" s="161">
        <v>9</v>
      </c>
      <c r="G49" s="198">
        <v>152</v>
      </c>
      <c r="H49" s="199">
        <f t="shared" si="5"/>
        <v>7.2418230508197396</v>
      </c>
      <c r="I49" s="199">
        <f t="shared" si="1"/>
        <v>4.7305566459474955</v>
      </c>
      <c r="J49" s="203">
        <f t="shared" si="17"/>
        <v>719.04461018401935</v>
      </c>
      <c r="K49" s="207">
        <f t="shared" si="18"/>
        <v>1100.7571037246005</v>
      </c>
      <c r="L49" s="206">
        <f t="shared" si="19"/>
        <v>-381.71249354058114</v>
      </c>
      <c r="M49" s="203">
        <f t="shared" si="7"/>
        <v>-20.84346128465473</v>
      </c>
      <c r="N49" s="204">
        <f t="shared" si="8"/>
        <v>-402.55595482523586</v>
      </c>
      <c r="O49" s="203">
        <f t="shared" si="9"/>
        <v>0</v>
      </c>
      <c r="P49" s="203">
        <f t="shared" si="10"/>
        <v>0</v>
      </c>
      <c r="Q49" s="203">
        <v>0</v>
      </c>
      <c r="R49" s="204">
        <f t="shared" si="11"/>
        <v>-402.55595482523586</v>
      </c>
    </row>
    <row r="50" spans="1:18" x14ac:dyDescent="0.2">
      <c r="A50" s="125">
        <v>7</v>
      </c>
      <c r="B50" s="196">
        <f t="shared" si="15"/>
        <v>44743</v>
      </c>
      <c r="C50" s="216">
        <f t="shared" si="16"/>
        <v>44776</v>
      </c>
      <c r="D50" s="216">
        <f t="shared" si="16"/>
        <v>44796</v>
      </c>
      <c r="E50" s="205" t="s">
        <v>82</v>
      </c>
      <c r="F50" s="161">
        <v>9</v>
      </c>
      <c r="G50" s="198">
        <v>149</v>
      </c>
      <c r="H50" s="199">
        <f t="shared" si="5"/>
        <v>7.2418230508197396</v>
      </c>
      <c r="I50" s="199">
        <f t="shared" si="1"/>
        <v>4.7305566459474955</v>
      </c>
      <c r="J50" s="203">
        <f t="shared" si="17"/>
        <v>704.85294024617679</v>
      </c>
      <c r="K50" s="207">
        <f t="shared" si="18"/>
        <v>1079.0316345721412</v>
      </c>
      <c r="L50" s="206">
        <f t="shared" si="19"/>
        <v>-374.17869432596444</v>
      </c>
      <c r="M50" s="203">
        <f t="shared" si="7"/>
        <v>-20.432077180352334</v>
      </c>
      <c r="N50" s="204">
        <f t="shared" si="8"/>
        <v>-394.61077150631678</v>
      </c>
      <c r="O50" s="203">
        <f t="shared" si="9"/>
        <v>0</v>
      </c>
      <c r="P50" s="203">
        <f t="shared" si="10"/>
        <v>0</v>
      </c>
      <c r="Q50" s="203">
        <v>0</v>
      </c>
      <c r="R50" s="204">
        <f t="shared" si="11"/>
        <v>-394.61077150631678</v>
      </c>
    </row>
    <row r="51" spans="1:18" x14ac:dyDescent="0.2">
      <c r="A51" s="161">
        <v>8</v>
      </c>
      <c r="B51" s="196">
        <f t="shared" si="15"/>
        <v>44774</v>
      </c>
      <c r="C51" s="216">
        <f t="shared" si="16"/>
        <v>44809</v>
      </c>
      <c r="D51" s="216">
        <f t="shared" si="16"/>
        <v>44827</v>
      </c>
      <c r="E51" s="205" t="s">
        <v>82</v>
      </c>
      <c r="F51" s="161">
        <v>9</v>
      </c>
      <c r="G51" s="198">
        <v>137</v>
      </c>
      <c r="H51" s="199">
        <f t="shared" si="5"/>
        <v>7.2418230508197396</v>
      </c>
      <c r="I51" s="199">
        <f t="shared" si="1"/>
        <v>4.7305566459474955</v>
      </c>
      <c r="J51" s="203">
        <f t="shared" si="17"/>
        <v>648.08626049480688</v>
      </c>
      <c r="K51" s="207">
        <f t="shared" si="18"/>
        <v>992.12975796230432</v>
      </c>
      <c r="L51" s="206">
        <f t="shared" si="19"/>
        <v>-344.04349746749745</v>
      </c>
      <c r="M51" s="203">
        <f t="shared" si="7"/>
        <v>-18.786540763142749</v>
      </c>
      <c r="N51" s="204">
        <f t="shared" si="8"/>
        <v>-362.83003823064018</v>
      </c>
      <c r="O51" s="203">
        <f t="shared" si="9"/>
        <v>0</v>
      </c>
      <c r="P51" s="203">
        <f t="shared" si="10"/>
        <v>0</v>
      </c>
      <c r="Q51" s="203">
        <v>0</v>
      </c>
      <c r="R51" s="204">
        <f t="shared" si="11"/>
        <v>-362.83003823064018</v>
      </c>
    </row>
    <row r="52" spans="1:18" x14ac:dyDescent="0.2">
      <c r="A52" s="161">
        <v>9</v>
      </c>
      <c r="B52" s="196">
        <f t="shared" si="15"/>
        <v>44805</v>
      </c>
      <c r="C52" s="216">
        <f t="shared" si="16"/>
        <v>44839</v>
      </c>
      <c r="D52" s="216">
        <f t="shared" si="16"/>
        <v>44859</v>
      </c>
      <c r="E52" s="205" t="s">
        <v>82</v>
      </c>
      <c r="F52" s="161">
        <v>9</v>
      </c>
      <c r="G52" s="198">
        <v>136</v>
      </c>
      <c r="H52" s="199">
        <f t="shared" si="5"/>
        <v>7.2418230508197396</v>
      </c>
      <c r="I52" s="199">
        <f t="shared" si="1"/>
        <v>4.7305566459474955</v>
      </c>
      <c r="J52" s="203">
        <f t="shared" si="17"/>
        <v>643.35570384885943</v>
      </c>
      <c r="K52" s="207">
        <f t="shared" si="18"/>
        <v>984.88793491148454</v>
      </c>
      <c r="L52" s="206">
        <f t="shared" si="19"/>
        <v>-341.5322310626251</v>
      </c>
      <c r="M52" s="203">
        <f t="shared" si="7"/>
        <v>-18.649412728375285</v>
      </c>
      <c r="N52" s="204">
        <f t="shared" si="8"/>
        <v>-360.1816437910004</v>
      </c>
      <c r="O52" s="203">
        <f t="shared" si="9"/>
        <v>0</v>
      </c>
      <c r="P52" s="203">
        <f t="shared" si="10"/>
        <v>0</v>
      </c>
      <c r="Q52" s="203">
        <v>0</v>
      </c>
      <c r="R52" s="204">
        <f t="shared" si="11"/>
        <v>-360.1816437910004</v>
      </c>
    </row>
    <row r="53" spans="1:18" x14ac:dyDescent="0.2">
      <c r="A53" s="125">
        <v>10</v>
      </c>
      <c r="B53" s="196">
        <f t="shared" si="15"/>
        <v>44835</v>
      </c>
      <c r="C53" s="216">
        <f t="shared" si="16"/>
        <v>44868</v>
      </c>
      <c r="D53" s="216">
        <f t="shared" si="16"/>
        <v>44888</v>
      </c>
      <c r="E53" s="205" t="s">
        <v>82</v>
      </c>
      <c r="F53" s="161">
        <v>9</v>
      </c>
      <c r="G53" s="198">
        <v>91</v>
      </c>
      <c r="H53" s="199">
        <f t="shared" si="5"/>
        <v>7.2418230508197396</v>
      </c>
      <c r="I53" s="199">
        <f t="shared" si="1"/>
        <v>4.7305566459474955</v>
      </c>
      <c r="J53" s="203">
        <f t="shared" si="17"/>
        <v>430.48065478122209</v>
      </c>
      <c r="K53" s="207">
        <f t="shared" si="18"/>
        <v>659.00589762459629</v>
      </c>
      <c r="L53" s="206">
        <f t="shared" si="19"/>
        <v>-228.5252428433742</v>
      </c>
      <c r="M53" s="203">
        <f t="shared" si="7"/>
        <v>-12.478651163839343</v>
      </c>
      <c r="N53" s="204">
        <f t="shared" si="8"/>
        <v>-241.00389400721355</v>
      </c>
      <c r="O53" s="203">
        <f t="shared" si="9"/>
        <v>0</v>
      </c>
      <c r="P53" s="203">
        <f t="shared" si="10"/>
        <v>0</v>
      </c>
      <c r="Q53" s="203">
        <v>0</v>
      </c>
      <c r="R53" s="204">
        <f t="shared" si="11"/>
        <v>-241.00389400721355</v>
      </c>
    </row>
    <row r="54" spans="1:18" x14ac:dyDescent="0.2">
      <c r="A54" s="161">
        <v>11</v>
      </c>
      <c r="B54" s="196">
        <f t="shared" si="15"/>
        <v>44866</v>
      </c>
      <c r="C54" s="216">
        <f t="shared" si="16"/>
        <v>44900</v>
      </c>
      <c r="D54" s="216">
        <f t="shared" si="16"/>
        <v>44918</v>
      </c>
      <c r="E54" s="205" t="s">
        <v>82</v>
      </c>
      <c r="F54" s="161">
        <v>9</v>
      </c>
      <c r="G54" s="198">
        <v>113</v>
      </c>
      <c r="H54" s="199">
        <f t="shared" si="5"/>
        <v>7.2418230508197396</v>
      </c>
      <c r="I54" s="199">
        <f t="shared" si="1"/>
        <v>4.7305566459474955</v>
      </c>
      <c r="J54" s="203">
        <f t="shared" si="17"/>
        <v>534.55290099206695</v>
      </c>
      <c r="K54" s="207">
        <f t="shared" si="18"/>
        <v>818.32600474263063</v>
      </c>
      <c r="L54" s="206">
        <f t="shared" si="19"/>
        <v>-283.77310375056368</v>
      </c>
      <c r="M54" s="203">
        <f t="shared" si="7"/>
        <v>-15.495467928723581</v>
      </c>
      <c r="N54" s="204">
        <f t="shared" si="8"/>
        <v>-299.26857167928728</v>
      </c>
      <c r="O54" s="203">
        <f t="shared" si="9"/>
        <v>0</v>
      </c>
      <c r="P54" s="203">
        <f t="shared" si="10"/>
        <v>0</v>
      </c>
      <c r="Q54" s="203">
        <v>0</v>
      </c>
      <c r="R54" s="204">
        <f t="shared" si="11"/>
        <v>-299.26857167928728</v>
      </c>
    </row>
    <row r="55" spans="1:18" x14ac:dyDescent="0.2">
      <c r="A55" s="161">
        <v>12</v>
      </c>
      <c r="B55" s="196">
        <f t="shared" si="15"/>
        <v>44896</v>
      </c>
      <c r="C55" s="216">
        <f t="shared" si="16"/>
        <v>44930</v>
      </c>
      <c r="D55" s="216">
        <f t="shared" si="16"/>
        <v>44950</v>
      </c>
      <c r="E55" s="205" t="s">
        <v>82</v>
      </c>
      <c r="F55" s="161">
        <v>9</v>
      </c>
      <c r="G55" s="198">
        <v>210</v>
      </c>
      <c r="H55" s="208">
        <f t="shared" si="5"/>
        <v>7.2418230508197396</v>
      </c>
      <c r="I55" s="208">
        <f t="shared" si="1"/>
        <v>4.7305566459474955</v>
      </c>
      <c r="J55" s="209">
        <f t="shared" si="17"/>
        <v>993.4168956489741</v>
      </c>
      <c r="K55" s="210">
        <f t="shared" si="18"/>
        <v>1520.7828406721453</v>
      </c>
      <c r="L55" s="211">
        <f t="shared" si="19"/>
        <v>-527.36594502317121</v>
      </c>
      <c r="M55" s="203">
        <f t="shared" si="7"/>
        <v>-28.796887301167718</v>
      </c>
      <c r="N55" s="204">
        <f t="shared" si="8"/>
        <v>-556.16283232433898</v>
      </c>
      <c r="O55" s="203">
        <f t="shared" si="9"/>
        <v>0</v>
      </c>
      <c r="P55" s="203">
        <f t="shared" si="10"/>
        <v>0</v>
      </c>
      <c r="Q55" s="203">
        <v>0</v>
      </c>
      <c r="R55" s="204">
        <f t="shared" si="11"/>
        <v>-556.16283232433898</v>
      </c>
    </row>
    <row r="56" spans="1:18" s="217" customFormat="1" x14ac:dyDescent="0.2">
      <c r="A56" s="125">
        <v>1</v>
      </c>
      <c r="B56" s="212">
        <f t="shared" si="4"/>
        <v>44562</v>
      </c>
      <c r="C56" s="213">
        <f t="shared" ref="C56:D67" si="20">+C32</f>
        <v>44595</v>
      </c>
      <c r="D56" s="213">
        <f t="shared" si="20"/>
        <v>44615</v>
      </c>
      <c r="E56" s="214" t="s">
        <v>14</v>
      </c>
      <c r="F56" s="215">
        <v>9</v>
      </c>
      <c r="G56" s="198">
        <v>893</v>
      </c>
      <c r="H56" s="199">
        <f t="shared" si="5"/>
        <v>7.2418230508197396</v>
      </c>
      <c r="I56" s="199">
        <f t="shared" si="1"/>
        <v>4.7305566459474955</v>
      </c>
      <c r="J56" s="200">
        <f t="shared" si="2"/>
        <v>4224.3870848311135</v>
      </c>
      <c r="K56" s="201">
        <f t="shared" si="13"/>
        <v>6466.9479843820272</v>
      </c>
      <c r="L56" s="202">
        <f t="shared" si="14"/>
        <v>-2242.5608995509137</v>
      </c>
      <c r="M56" s="203">
        <f t="shared" si="7"/>
        <v>-122.45533504734652</v>
      </c>
      <c r="N56" s="204">
        <f t="shared" si="8"/>
        <v>-2365.0162345982603</v>
      </c>
      <c r="O56" s="203">
        <f t="shared" si="9"/>
        <v>0</v>
      </c>
      <c r="P56" s="203">
        <f t="shared" si="10"/>
        <v>0</v>
      </c>
      <c r="Q56" s="203">
        <v>0</v>
      </c>
      <c r="R56" s="204">
        <f t="shared" si="11"/>
        <v>-2365.0162345982603</v>
      </c>
    </row>
    <row r="57" spans="1:18" x14ac:dyDescent="0.2">
      <c r="A57" s="161">
        <v>2</v>
      </c>
      <c r="B57" s="196">
        <f t="shared" si="4"/>
        <v>44593</v>
      </c>
      <c r="C57" s="216">
        <f t="shared" si="20"/>
        <v>44623</v>
      </c>
      <c r="D57" s="216">
        <f t="shared" si="20"/>
        <v>44642</v>
      </c>
      <c r="E57" s="205" t="s">
        <v>14</v>
      </c>
      <c r="F57" s="161">
        <v>9</v>
      </c>
      <c r="G57" s="198">
        <v>796</v>
      </c>
      <c r="H57" s="199">
        <f t="shared" si="5"/>
        <v>7.2418230508197396</v>
      </c>
      <c r="I57" s="199">
        <f t="shared" si="1"/>
        <v>4.7305566459474955</v>
      </c>
      <c r="J57" s="200">
        <f t="shared" si="2"/>
        <v>3765.5230901742066</v>
      </c>
      <c r="K57" s="201">
        <f t="shared" si="13"/>
        <v>5764.4911484525128</v>
      </c>
      <c r="L57" s="202">
        <f t="shared" si="14"/>
        <v>-1998.9680582783062</v>
      </c>
      <c r="M57" s="203">
        <f t="shared" si="7"/>
        <v>-109.15391567490239</v>
      </c>
      <c r="N57" s="204">
        <f t="shared" si="8"/>
        <v>-2108.1219739532085</v>
      </c>
      <c r="O57" s="203">
        <f t="shared" si="9"/>
        <v>0</v>
      </c>
      <c r="P57" s="203">
        <f t="shared" si="10"/>
        <v>0</v>
      </c>
      <c r="Q57" s="203">
        <v>0</v>
      </c>
      <c r="R57" s="204">
        <f t="shared" si="11"/>
        <v>-2108.1219739532085</v>
      </c>
    </row>
    <row r="58" spans="1:18" x14ac:dyDescent="0.2">
      <c r="A58" s="161">
        <v>3</v>
      </c>
      <c r="B58" s="196">
        <f t="shared" si="4"/>
        <v>44621</v>
      </c>
      <c r="C58" s="216">
        <f t="shared" si="20"/>
        <v>44656</v>
      </c>
      <c r="D58" s="216">
        <f t="shared" si="20"/>
        <v>44676</v>
      </c>
      <c r="E58" s="205" t="s">
        <v>14</v>
      </c>
      <c r="F58" s="161">
        <v>9</v>
      </c>
      <c r="G58" s="198">
        <v>700</v>
      </c>
      <c r="H58" s="199">
        <f t="shared" si="5"/>
        <v>7.2418230508197396</v>
      </c>
      <c r="I58" s="199">
        <f t="shared" si="1"/>
        <v>4.7305566459474955</v>
      </c>
      <c r="J58" s="200">
        <f t="shared" si="2"/>
        <v>3311.3896521632469</v>
      </c>
      <c r="K58" s="201">
        <f t="shared" si="13"/>
        <v>5069.2761355738176</v>
      </c>
      <c r="L58" s="202">
        <f>+J58-K58</f>
        <v>-1757.8864834105707</v>
      </c>
      <c r="M58" s="203">
        <f t="shared" si="7"/>
        <v>-95.98962433722572</v>
      </c>
      <c r="N58" s="204">
        <f t="shared" si="8"/>
        <v>-1853.8761077477964</v>
      </c>
      <c r="O58" s="203">
        <f t="shared" si="9"/>
        <v>0</v>
      </c>
      <c r="P58" s="203">
        <f t="shared" si="10"/>
        <v>0</v>
      </c>
      <c r="Q58" s="203">
        <v>0</v>
      </c>
      <c r="R58" s="204">
        <f t="shared" si="11"/>
        <v>-1853.8761077477964</v>
      </c>
    </row>
    <row r="59" spans="1:18" x14ac:dyDescent="0.2">
      <c r="A59" s="125">
        <v>4</v>
      </c>
      <c r="B59" s="196">
        <f t="shared" si="4"/>
        <v>44652</v>
      </c>
      <c r="C59" s="216">
        <f t="shared" si="20"/>
        <v>44685</v>
      </c>
      <c r="D59" s="216">
        <f t="shared" si="20"/>
        <v>44705</v>
      </c>
      <c r="E59" s="205" t="s">
        <v>14</v>
      </c>
      <c r="F59" s="161">
        <v>9</v>
      </c>
      <c r="G59" s="198">
        <v>549</v>
      </c>
      <c r="H59" s="199">
        <f t="shared" si="5"/>
        <v>7.2418230508197396</v>
      </c>
      <c r="I59" s="199">
        <f t="shared" si="1"/>
        <v>4.7305566459474955</v>
      </c>
      <c r="J59" s="200">
        <f t="shared" si="2"/>
        <v>2597.0755986251752</v>
      </c>
      <c r="K59" s="201">
        <f t="shared" si="13"/>
        <v>3975.760854900037</v>
      </c>
      <c r="L59" s="202">
        <f t="shared" ref="L59:L81" si="21">+J59-K59</f>
        <v>-1378.6852562748618</v>
      </c>
      <c r="M59" s="203">
        <f t="shared" si="7"/>
        <v>-75.283291087338455</v>
      </c>
      <c r="N59" s="204">
        <f t="shared" si="8"/>
        <v>-1453.9685473622003</v>
      </c>
      <c r="O59" s="203">
        <f t="shared" si="9"/>
        <v>0</v>
      </c>
      <c r="P59" s="203">
        <f t="shared" si="10"/>
        <v>0</v>
      </c>
      <c r="Q59" s="203">
        <v>0</v>
      </c>
      <c r="R59" s="204">
        <f t="shared" si="11"/>
        <v>-1453.9685473622003</v>
      </c>
    </row>
    <row r="60" spans="1:18" x14ac:dyDescent="0.2">
      <c r="A60" s="161">
        <v>5</v>
      </c>
      <c r="B60" s="196">
        <f t="shared" si="4"/>
        <v>44682</v>
      </c>
      <c r="C60" s="216">
        <f t="shared" si="20"/>
        <v>44715</v>
      </c>
      <c r="D60" s="216">
        <f t="shared" si="20"/>
        <v>44735</v>
      </c>
      <c r="E60" s="54" t="s">
        <v>14</v>
      </c>
      <c r="F60" s="161">
        <v>9</v>
      </c>
      <c r="G60" s="198">
        <v>753</v>
      </c>
      <c r="H60" s="199">
        <f t="shared" si="5"/>
        <v>7.2418230508197396</v>
      </c>
      <c r="I60" s="199">
        <f t="shared" si="1"/>
        <v>4.7305566459474955</v>
      </c>
      <c r="J60" s="200">
        <f t="shared" si="2"/>
        <v>3562.1091543984639</v>
      </c>
      <c r="K60" s="201">
        <f t="shared" si="13"/>
        <v>5453.0927572672636</v>
      </c>
      <c r="L60" s="202">
        <f t="shared" si="21"/>
        <v>-1890.9836028687996</v>
      </c>
      <c r="M60" s="203">
        <f t="shared" si="7"/>
        <v>-103.25741017990138</v>
      </c>
      <c r="N60" s="204">
        <f t="shared" si="8"/>
        <v>-1994.241013048701</v>
      </c>
      <c r="O60" s="203">
        <f t="shared" si="9"/>
        <v>0</v>
      </c>
      <c r="P60" s="203">
        <f t="shared" si="10"/>
        <v>0</v>
      </c>
      <c r="Q60" s="203">
        <v>0</v>
      </c>
      <c r="R60" s="204">
        <f t="shared" si="11"/>
        <v>-1994.241013048701</v>
      </c>
    </row>
    <row r="61" spans="1:18" x14ac:dyDescent="0.2">
      <c r="A61" s="161">
        <v>6</v>
      </c>
      <c r="B61" s="196">
        <f t="shared" si="4"/>
        <v>44713</v>
      </c>
      <c r="C61" s="216">
        <f t="shared" si="20"/>
        <v>44747</v>
      </c>
      <c r="D61" s="216">
        <f t="shared" si="20"/>
        <v>44767</v>
      </c>
      <c r="E61" s="54" t="s">
        <v>14</v>
      </c>
      <c r="F61" s="161">
        <v>9</v>
      </c>
      <c r="G61" s="198">
        <v>942</v>
      </c>
      <c r="H61" s="199">
        <f t="shared" si="5"/>
        <v>7.2418230508197396</v>
      </c>
      <c r="I61" s="199">
        <f t="shared" si="1"/>
        <v>4.7305566459474955</v>
      </c>
      <c r="J61" s="200">
        <f t="shared" si="2"/>
        <v>4456.1843604825408</v>
      </c>
      <c r="K61" s="201">
        <f t="shared" si="13"/>
        <v>6821.7973138721945</v>
      </c>
      <c r="L61" s="206">
        <f t="shared" si="21"/>
        <v>-2365.6129533896537</v>
      </c>
      <c r="M61" s="203">
        <f t="shared" si="7"/>
        <v>-129.17460875095233</v>
      </c>
      <c r="N61" s="204">
        <f t="shared" si="8"/>
        <v>-2494.787562140606</v>
      </c>
      <c r="O61" s="203">
        <f t="shared" si="9"/>
        <v>0</v>
      </c>
      <c r="P61" s="203">
        <f t="shared" si="10"/>
        <v>0</v>
      </c>
      <c r="Q61" s="203">
        <v>0</v>
      </c>
      <c r="R61" s="204">
        <f t="shared" si="11"/>
        <v>-2494.787562140606</v>
      </c>
    </row>
    <row r="62" spans="1:18" x14ac:dyDescent="0.2">
      <c r="A62" s="125">
        <v>7</v>
      </c>
      <c r="B62" s="196">
        <f t="shared" si="4"/>
        <v>44743</v>
      </c>
      <c r="C62" s="216">
        <f t="shared" si="20"/>
        <v>44776</v>
      </c>
      <c r="D62" s="216">
        <f t="shared" si="20"/>
        <v>44796</v>
      </c>
      <c r="E62" s="54" t="s">
        <v>14</v>
      </c>
      <c r="F62" s="161">
        <v>9</v>
      </c>
      <c r="G62" s="198">
        <v>1036</v>
      </c>
      <c r="H62" s="199">
        <f t="shared" si="5"/>
        <v>7.2418230508197396</v>
      </c>
      <c r="I62" s="199">
        <f t="shared" si="1"/>
        <v>4.7305566459474955</v>
      </c>
      <c r="J62" s="200">
        <f t="shared" si="2"/>
        <v>4900.8566852016056</v>
      </c>
      <c r="K62" s="207">
        <f t="shared" si="13"/>
        <v>7502.5286806492504</v>
      </c>
      <c r="L62" s="206">
        <f t="shared" si="21"/>
        <v>-2601.6719954476448</v>
      </c>
      <c r="M62" s="203">
        <f t="shared" si="7"/>
        <v>-142.06464401909406</v>
      </c>
      <c r="N62" s="204">
        <f t="shared" si="8"/>
        <v>-2743.7366394667388</v>
      </c>
      <c r="O62" s="203">
        <f t="shared" si="9"/>
        <v>0</v>
      </c>
      <c r="P62" s="203">
        <f t="shared" si="10"/>
        <v>0</v>
      </c>
      <c r="Q62" s="203">
        <v>0</v>
      </c>
      <c r="R62" s="204">
        <f t="shared" si="11"/>
        <v>-2743.7366394667388</v>
      </c>
    </row>
    <row r="63" spans="1:18" x14ac:dyDescent="0.2">
      <c r="A63" s="161">
        <v>8</v>
      </c>
      <c r="B63" s="196">
        <f t="shared" si="4"/>
        <v>44774</v>
      </c>
      <c r="C63" s="216">
        <f t="shared" si="20"/>
        <v>44809</v>
      </c>
      <c r="D63" s="216">
        <f t="shared" si="20"/>
        <v>44827</v>
      </c>
      <c r="E63" s="54" t="s">
        <v>14</v>
      </c>
      <c r="F63" s="161">
        <v>9</v>
      </c>
      <c r="G63" s="198">
        <v>954</v>
      </c>
      <c r="H63" s="199">
        <f t="shared" si="5"/>
        <v>7.2418230508197396</v>
      </c>
      <c r="I63" s="199">
        <f t="shared" si="1"/>
        <v>4.7305566459474955</v>
      </c>
      <c r="J63" s="200">
        <f t="shared" si="2"/>
        <v>4512.951040233911</v>
      </c>
      <c r="K63" s="207">
        <f t="shared" si="13"/>
        <v>6908.6991904820316</v>
      </c>
      <c r="L63" s="206">
        <f t="shared" si="21"/>
        <v>-2395.7481502481205</v>
      </c>
      <c r="M63" s="203">
        <f t="shared" si="7"/>
        <v>-130.8201451681619</v>
      </c>
      <c r="N63" s="204">
        <f t="shared" si="8"/>
        <v>-2526.5682954162826</v>
      </c>
      <c r="O63" s="203">
        <f t="shared" si="9"/>
        <v>0</v>
      </c>
      <c r="P63" s="203">
        <f t="shared" si="10"/>
        <v>0</v>
      </c>
      <c r="Q63" s="203">
        <v>0</v>
      </c>
      <c r="R63" s="204">
        <f t="shared" si="11"/>
        <v>-2526.5682954162826</v>
      </c>
    </row>
    <row r="64" spans="1:18" x14ac:dyDescent="0.2">
      <c r="A64" s="161">
        <v>9</v>
      </c>
      <c r="B64" s="196">
        <f t="shared" si="4"/>
        <v>44805</v>
      </c>
      <c r="C64" s="216">
        <f t="shared" si="20"/>
        <v>44839</v>
      </c>
      <c r="D64" s="216">
        <f t="shared" si="20"/>
        <v>44859</v>
      </c>
      <c r="E64" s="54" t="s">
        <v>14</v>
      </c>
      <c r="F64" s="161">
        <v>9</v>
      </c>
      <c r="G64" s="198">
        <v>860</v>
      </c>
      <c r="H64" s="199">
        <f t="shared" si="5"/>
        <v>7.2418230508197396</v>
      </c>
      <c r="I64" s="199">
        <f t="shared" ref="I64:I107" si="22">$J$3</f>
        <v>4.7305566459474955</v>
      </c>
      <c r="J64" s="200">
        <f t="shared" si="2"/>
        <v>4068.2787155148462</v>
      </c>
      <c r="K64" s="207">
        <f t="shared" si="13"/>
        <v>6227.9678237049757</v>
      </c>
      <c r="L64" s="206">
        <f t="shared" si="21"/>
        <v>-2159.6891081901294</v>
      </c>
      <c r="M64" s="203">
        <f t="shared" si="7"/>
        <v>-117.93010990002018</v>
      </c>
      <c r="N64" s="204">
        <f t="shared" si="8"/>
        <v>-2277.6192180901498</v>
      </c>
      <c r="O64" s="203">
        <f t="shared" si="9"/>
        <v>0</v>
      </c>
      <c r="P64" s="203">
        <f t="shared" si="10"/>
        <v>0</v>
      </c>
      <c r="Q64" s="203">
        <v>0</v>
      </c>
      <c r="R64" s="204">
        <f t="shared" si="11"/>
        <v>-2277.6192180901498</v>
      </c>
    </row>
    <row r="65" spans="1:18" x14ac:dyDescent="0.2">
      <c r="A65" s="125">
        <v>10</v>
      </c>
      <c r="B65" s="196">
        <f t="shared" si="4"/>
        <v>44835</v>
      </c>
      <c r="C65" s="216">
        <f t="shared" si="20"/>
        <v>44868</v>
      </c>
      <c r="D65" s="216">
        <f t="shared" si="20"/>
        <v>44888</v>
      </c>
      <c r="E65" s="54" t="s">
        <v>14</v>
      </c>
      <c r="F65" s="161">
        <v>9</v>
      </c>
      <c r="G65" s="198">
        <v>589</v>
      </c>
      <c r="H65" s="199">
        <f t="shared" si="5"/>
        <v>7.2418230508197396</v>
      </c>
      <c r="I65" s="199">
        <f t="shared" si="22"/>
        <v>4.7305566459474955</v>
      </c>
      <c r="J65" s="200">
        <f t="shared" si="2"/>
        <v>2786.2978644630748</v>
      </c>
      <c r="K65" s="207">
        <f t="shared" si="13"/>
        <v>4265.4337769328267</v>
      </c>
      <c r="L65" s="206">
        <f t="shared" si="21"/>
        <v>-1479.1359124697519</v>
      </c>
      <c r="M65" s="203">
        <f t="shared" si="7"/>
        <v>-80.768412478037064</v>
      </c>
      <c r="N65" s="204">
        <f t="shared" si="8"/>
        <v>-1559.9043249477891</v>
      </c>
      <c r="O65" s="203">
        <f t="shared" si="9"/>
        <v>0</v>
      </c>
      <c r="P65" s="203">
        <f t="shared" si="10"/>
        <v>0</v>
      </c>
      <c r="Q65" s="203">
        <v>0</v>
      </c>
      <c r="R65" s="204">
        <f t="shared" si="11"/>
        <v>-1559.9043249477891</v>
      </c>
    </row>
    <row r="66" spans="1:18" x14ac:dyDescent="0.2">
      <c r="A66" s="161">
        <v>11</v>
      </c>
      <c r="B66" s="196">
        <f t="shared" si="4"/>
        <v>44866</v>
      </c>
      <c r="C66" s="216">
        <f t="shared" si="20"/>
        <v>44900</v>
      </c>
      <c r="D66" s="216">
        <f t="shared" si="20"/>
        <v>44918</v>
      </c>
      <c r="E66" s="54" t="s">
        <v>14</v>
      </c>
      <c r="F66" s="161">
        <v>9</v>
      </c>
      <c r="G66" s="198">
        <v>730</v>
      </c>
      <c r="H66" s="199">
        <f t="shared" si="5"/>
        <v>7.2418230508197396</v>
      </c>
      <c r="I66" s="199">
        <f t="shared" si="22"/>
        <v>4.7305566459474955</v>
      </c>
      <c r="J66" s="200">
        <f t="shared" si="2"/>
        <v>3453.3063515416716</v>
      </c>
      <c r="K66" s="207">
        <f t="shared" si="13"/>
        <v>5286.5308270984096</v>
      </c>
      <c r="L66" s="206">
        <f t="shared" si="21"/>
        <v>-1833.2244755567381</v>
      </c>
      <c r="M66" s="203">
        <f t="shared" si="7"/>
        <v>-100.10346538024969</v>
      </c>
      <c r="N66" s="204">
        <f t="shared" si="8"/>
        <v>-1933.3279409369877</v>
      </c>
      <c r="O66" s="203">
        <f t="shared" si="9"/>
        <v>0</v>
      </c>
      <c r="P66" s="203">
        <f t="shared" si="10"/>
        <v>0</v>
      </c>
      <c r="Q66" s="203">
        <v>0</v>
      </c>
      <c r="R66" s="204">
        <f t="shared" si="11"/>
        <v>-1933.3279409369877</v>
      </c>
    </row>
    <row r="67" spans="1:18" s="220" customFormat="1" x14ac:dyDescent="0.2">
      <c r="A67" s="161">
        <v>12</v>
      </c>
      <c r="B67" s="218">
        <f t="shared" si="4"/>
        <v>44896</v>
      </c>
      <c r="C67" s="216">
        <f t="shared" si="20"/>
        <v>44930</v>
      </c>
      <c r="D67" s="216">
        <f t="shared" si="20"/>
        <v>44950</v>
      </c>
      <c r="E67" s="219" t="s">
        <v>14</v>
      </c>
      <c r="F67" s="172">
        <v>9</v>
      </c>
      <c r="G67" s="198">
        <v>1123</v>
      </c>
      <c r="H67" s="208">
        <f t="shared" si="5"/>
        <v>7.2418230508197396</v>
      </c>
      <c r="I67" s="208">
        <f t="shared" si="22"/>
        <v>4.7305566459474955</v>
      </c>
      <c r="J67" s="209">
        <f t="shared" si="2"/>
        <v>5312.4151133990372</v>
      </c>
      <c r="K67" s="210">
        <f t="shared" si="13"/>
        <v>8132.5672860705672</v>
      </c>
      <c r="L67" s="211">
        <f t="shared" si="21"/>
        <v>-2820.15217267153</v>
      </c>
      <c r="M67" s="203">
        <f t="shared" si="7"/>
        <v>-153.99478304386355</v>
      </c>
      <c r="N67" s="204">
        <f t="shared" si="8"/>
        <v>-2974.1469557153937</v>
      </c>
      <c r="O67" s="203">
        <f t="shared" si="9"/>
        <v>0</v>
      </c>
      <c r="P67" s="203">
        <f t="shared" si="10"/>
        <v>0</v>
      </c>
      <c r="Q67" s="203">
        <v>0</v>
      </c>
      <c r="R67" s="204">
        <f t="shared" si="11"/>
        <v>-2974.1469557153937</v>
      </c>
    </row>
    <row r="68" spans="1:18" x14ac:dyDescent="0.2">
      <c r="A68" s="125">
        <v>1</v>
      </c>
      <c r="B68" s="196">
        <f t="shared" si="4"/>
        <v>44562</v>
      </c>
      <c r="C68" s="213">
        <f t="shared" ref="C68:D79" si="23">+C56</f>
        <v>44595</v>
      </c>
      <c r="D68" s="213">
        <f t="shared" si="23"/>
        <v>44615</v>
      </c>
      <c r="E68" s="197" t="s">
        <v>86</v>
      </c>
      <c r="F68" s="125">
        <v>9</v>
      </c>
      <c r="G68" s="198">
        <v>48</v>
      </c>
      <c r="H68" s="199">
        <f t="shared" si="5"/>
        <v>7.2418230508197396</v>
      </c>
      <c r="I68" s="199">
        <f t="shared" si="22"/>
        <v>4.7305566459474955</v>
      </c>
      <c r="J68" s="200">
        <f t="shared" si="2"/>
        <v>227.0667190054798</v>
      </c>
      <c r="K68" s="201">
        <f t="shared" si="13"/>
        <v>347.6075064393475</v>
      </c>
      <c r="L68" s="202">
        <f t="shared" si="21"/>
        <v>-120.54078743386771</v>
      </c>
      <c r="M68" s="203">
        <f t="shared" si="7"/>
        <v>-6.5821456688383346</v>
      </c>
      <c r="N68" s="204">
        <f t="shared" si="8"/>
        <v>-127.12293310270604</v>
      </c>
      <c r="O68" s="203">
        <f t="shared" si="9"/>
        <v>0</v>
      </c>
      <c r="P68" s="203">
        <f t="shared" si="10"/>
        <v>0</v>
      </c>
      <c r="Q68" s="203">
        <v>0</v>
      </c>
      <c r="R68" s="204">
        <f t="shared" si="11"/>
        <v>-127.12293310270604</v>
      </c>
    </row>
    <row r="69" spans="1:18" x14ac:dyDescent="0.2">
      <c r="A69" s="161">
        <v>2</v>
      </c>
      <c r="B69" s="196">
        <f t="shared" si="4"/>
        <v>44593</v>
      </c>
      <c r="C69" s="216">
        <f t="shared" si="23"/>
        <v>44623</v>
      </c>
      <c r="D69" s="216">
        <f t="shared" si="23"/>
        <v>44642</v>
      </c>
      <c r="E69" s="205" t="s">
        <v>86</v>
      </c>
      <c r="F69" s="161">
        <v>9</v>
      </c>
      <c r="G69" s="198">
        <v>45</v>
      </c>
      <c r="H69" s="199">
        <f t="shared" si="5"/>
        <v>7.2418230508197396</v>
      </c>
      <c r="I69" s="199">
        <f t="shared" si="22"/>
        <v>4.7305566459474955</v>
      </c>
      <c r="J69" s="200">
        <f t="shared" si="2"/>
        <v>212.87504906763729</v>
      </c>
      <c r="K69" s="201">
        <f t="shared" si="13"/>
        <v>325.88203728688831</v>
      </c>
      <c r="L69" s="202">
        <f t="shared" si="21"/>
        <v>-113.00698821925101</v>
      </c>
      <c r="M69" s="203">
        <f t="shared" si="7"/>
        <v>-6.1707615645359395</v>
      </c>
      <c r="N69" s="204">
        <f t="shared" si="8"/>
        <v>-119.17774978378695</v>
      </c>
      <c r="O69" s="203">
        <f t="shared" si="9"/>
        <v>0</v>
      </c>
      <c r="P69" s="203">
        <f t="shared" si="10"/>
        <v>0</v>
      </c>
      <c r="Q69" s="203">
        <v>0</v>
      </c>
      <c r="R69" s="204">
        <f t="shared" si="11"/>
        <v>-119.17774978378695</v>
      </c>
    </row>
    <row r="70" spans="1:18" x14ac:dyDescent="0.2">
      <c r="A70" s="161">
        <v>3</v>
      </c>
      <c r="B70" s="196">
        <f t="shared" si="4"/>
        <v>44621</v>
      </c>
      <c r="C70" s="216">
        <f t="shared" si="23"/>
        <v>44656</v>
      </c>
      <c r="D70" s="216">
        <f t="shared" si="23"/>
        <v>44676</v>
      </c>
      <c r="E70" s="205" t="s">
        <v>86</v>
      </c>
      <c r="F70" s="161">
        <v>9</v>
      </c>
      <c r="G70" s="198">
        <v>38</v>
      </c>
      <c r="H70" s="199">
        <f t="shared" si="5"/>
        <v>7.2418230508197396</v>
      </c>
      <c r="I70" s="199">
        <f t="shared" si="22"/>
        <v>4.7305566459474955</v>
      </c>
      <c r="J70" s="200">
        <f t="shared" si="2"/>
        <v>179.76115254600484</v>
      </c>
      <c r="K70" s="201">
        <f t="shared" si="13"/>
        <v>275.18927593115012</v>
      </c>
      <c r="L70" s="202">
        <f>+J70-K70</f>
        <v>-95.428123385145284</v>
      </c>
      <c r="M70" s="203">
        <f t="shared" si="7"/>
        <v>-5.2108653211636824</v>
      </c>
      <c r="N70" s="204">
        <f t="shared" si="8"/>
        <v>-100.63898870630896</v>
      </c>
      <c r="O70" s="203">
        <f t="shared" si="9"/>
        <v>0</v>
      </c>
      <c r="P70" s="203">
        <f t="shared" si="10"/>
        <v>0</v>
      </c>
      <c r="Q70" s="203">
        <v>0</v>
      </c>
      <c r="R70" s="204">
        <f t="shared" si="11"/>
        <v>-100.63898870630896</v>
      </c>
    </row>
    <row r="71" spans="1:18" x14ac:dyDescent="0.2">
      <c r="A71" s="125">
        <v>4</v>
      </c>
      <c r="B71" s="196">
        <f t="shared" si="4"/>
        <v>44652</v>
      </c>
      <c r="C71" s="216">
        <f t="shared" si="23"/>
        <v>44685</v>
      </c>
      <c r="D71" s="216">
        <f t="shared" si="23"/>
        <v>44705</v>
      </c>
      <c r="E71" s="205" t="s">
        <v>86</v>
      </c>
      <c r="F71" s="161">
        <v>9</v>
      </c>
      <c r="G71" s="198">
        <v>26</v>
      </c>
      <c r="H71" s="199">
        <f t="shared" si="5"/>
        <v>7.2418230508197396</v>
      </c>
      <c r="I71" s="199">
        <f t="shared" si="22"/>
        <v>4.7305566459474955</v>
      </c>
      <c r="J71" s="200">
        <f t="shared" si="2"/>
        <v>122.99447279463489</v>
      </c>
      <c r="K71" s="201">
        <f t="shared" si="13"/>
        <v>188.28739932131322</v>
      </c>
      <c r="L71" s="202">
        <f t="shared" ref="L71:L79" si="24">+J71-K71</f>
        <v>-65.292926526678329</v>
      </c>
      <c r="M71" s="203">
        <f t="shared" si="7"/>
        <v>-3.5653289039540979</v>
      </c>
      <c r="N71" s="204">
        <f t="shared" si="8"/>
        <v>-68.858255430632425</v>
      </c>
      <c r="O71" s="203">
        <f t="shared" si="9"/>
        <v>0</v>
      </c>
      <c r="P71" s="203">
        <f t="shared" si="10"/>
        <v>0</v>
      </c>
      <c r="Q71" s="203">
        <v>0</v>
      </c>
      <c r="R71" s="204">
        <f t="shared" si="11"/>
        <v>-68.858255430632425</v>
      </c>
    </row>
    <row r="72" spans="1:18" x14ac:dyDescent="0.2">
      <c r="A72" s="161">
        <v>5</v>
      </c>
      <c r="B72" s="196">
        <f t="shared" si="4"/>
        <v>44682</v>
      </c>
      <c r="C72" s="216">
        <f t="shared" si="23"/>
        <v>44715</v>
      </c>
      <c r="D72" s="216">
        <f t="shared" si="23"/>
        <v>44735</v>
      </c>
      <c r="E72" s="205" t="s">
        <v>86</v>
      </c>
      <c r="F72" s="161">
        <v>9</v>
      </c>
      <c r="G72" s="198">
        <v>43</v>
      </c>
      <c r="H72" s="199">
        <f t="shared" si="5"/>
        <v>7.2418230508197396</v>
      </c>
      <c r="I72" s="199">
        <f t="shared" si="22"/>
        <v>4.7305566459474955</v>
      </c>
      <c r="J72" s="200">
        <f t="shared" si="2"/>
        <v>203.41393577574232</v>
      </c>
      <c r="K72" s="201">
        <f t="shared" si="13"/>
        <v>311.39839118524878</v>
      </c>
      <c r="L72" s="202">
        <f t="shared" si="24"/>
        <v>-107.98445540950647</v>
      </c>
      <c r="M72" s="203">
        <f t="shared" si="7"/>
        <v>-5.8965054950010085</v>
      </c>
      <c r="N72" s="204">
        <f t="shared" si="8"/>
        <v>-113.88096090450748</v>
      </c>
      <c r="O72" s="203">
        <f t="shared" si="9"/>
        <v>0</v>
      </c>
      <c r="P72" s="203">
        <f t="shared" si="10"/>
        <v>0</v>
      </c>
      <c r="Q72" s="203">
        <v>0</v>
      </c>
      <c r="R72" s="204">
        <f t="shared" si="11"/>
        <v>-113.88096090450748</v>
      </c>
    </row>
    <row r="73" spans="1:18" x14ac:dyDescent="0.2">
      <c r="A73" s="161">
        <v>6</v>
      </c>
      <c r="B73" s="196">
        <f t="shared" si="4"/>
        <v>44713</v>
      </c>
      <c r="C73" s="216">
        <f t="shared" si="23"/>
        <v>44747</v>
      </c>
      <c r="D73" s="216">
        <f t="shared" si="23"/>
        <v>44767</v>
      </c>
      <c r="E73" s="205" t="s">
        <v>86</v>
      </c>
      <c r="F73" s="161">
        <v>9</v>
      </c>
      <c r="G73" s="198">
        <v>54</v>
      </c>
      <c r="H73" s="199">
        <f t="shared" si="5"/>
        <v>7.2418230508197396</v>
      </c>
      <c r="I73" s="199">
        <f t="shared" si="22"/>
        <v>4.7305566459474955</v>
      </c>
      <c r="J73" s="200">
        <f t="shared" si="2"/>
        <v>255.45005888116475</v>
      </c>
      <c r="K73" s="201">
        <f t="shared" si="13"/>
        <v>391.05844474426596</v>
      </c>
      <c r="L73" s="206">
        <f t="shared" si="24"/>
        <v>-135.6083858631012</v>
      </c>
      <c r="M73" s="203">
        <f t="shared" si="7"/>
        <v>-7.4049138774431276</v>
      </c>
      <c r="N73" s="204">
        <f t="shared" si="8"/>
        <v>-143.01329974054434</v>
      </c>
      <c r="O73" s="203">
        <f t="shared" si="9"/>
        <v>0</v>
      </c>
      <c r="P73" s="203">
        <f t="shared" si="10"/>
        <v>0</v>
      </c>
      <c r="Q73" s="203">
        <v>0</v>
      </c>
      <c r="R73" s="204">
        <f t="shared" si="11"/>
        <v>-143.01329974054434</v>
      </c>
    </row>
    <row r="74" spans="1:18" x14ac:dyDescent="0.2">
      <c r="A74" s="125">
        <v>7</v>
      </c>
      <c r="B74" s="196">
        <f t="shared" si="4"/>
        <v>44743</v>
      </c>
      <c r="C74" s="216">
        <f t="shared" si="23"/>
        <v>44776</v>
      </c>
      <c r="D74" s="216">
        <f t="shared" si="23"/>
        <v>44796</v>
      </c>
      <c r="E74" s="205" t="s">
        <v>86</v>
      </c>
      <c r="F74" s="161">
        <v>9</v>
      </c>
      <c r="G74" s="198">
        <v>57</v>
      </c>
      <c r="H74" s="199">
        <f t="shared" si="5"/>
        <v>7.2418230508197396</v>
      </c>
      <c r="I74" s="199">
        <f t="shared" si="22"/>
        <v>4.7305566459474955</v>
      </c>
      <c r="J74" s="200">
        <f t="shared" si="2"/>
        <v>269.64172881900726</v>
      </c>
      <c r="K74" s="207">
        <f t="shared" si="13"/>
        <v>412.78391389672515</v>
      </c>
      <c r="L74" s="206">
        <f t="shared" si="24"/>
        <v>-143.1421850777179</v>
      </c>
      <c r="M74" s="203">
        <f t="shared" si="7"/>
        <v>-7.8162979817455227</v>
      </c>
      <c r="N74" s="204">
        <f t="shared" si="8"/>
        <v>-150.95848305946342</v>
      </c>
      <c r="O74" s="203">
        <f t="shared" si="9"/>
        <v>0</v>
      </c>
      <c r="P74" s="203">
        <f t="shared" si="10"/>
        <v>0</v>
      </c>
      <c r="Q74" s="203">
        <v>0</v>
      </c>
      <c r="R74" s="204">
        <f t="shared" si="11"/>
        <v>-150.95848305946342</v>
      </c>
    </row>
    <row r="75" spans="1:18" x14ac:dyDescent="0.2">
      <c r="A75" s="161">
        <v>8</v>
      </c>
      <c r="B75" s="196">
        <f t="shared" si="4"/>
        <v>44774</v>
      </c>
      <c r="C75" s="216">
        <f t="shared" si="23"/>
        <v>44809</v>
      </c>
      <c r="D75" s="216">
        <f t="shared" si="23"/>
        <v>44827</v>
      </c>
      <c r="E75" s="205" t="s">
        <v>86</v>
      </c>
      <c r="F75" s="161">
        <v>9</v>
      </c>
      <c r="G75" s="198">
        <v>54</v>
      </c>
      <c r="H75" s="199">
        <f t="shared" si="5"/>
        <v>7.2418230508197396</v>
      </c>
      <c r="I75" s="199">
        <f t="shared" si="22"/>
        <v>4.7305566459474955</v>
      </c>
      <c r="J75" s="200">
        <f t="shared" si="2"/>
        <v>255.45005888116475</v>
      </c>
      <c r="K75" s="207">
        <f t="shared" si="13"/>
        <v>391.05844474426596</v>
      </c>
      <c r="L75" s="206">
        <f t="shared" si="24"/>
        <v>-135.6083858631012</v>
      </c>
      <c r="M75" s="203">
        <f t="shared" si="7"/>
        <v>-7.4049138774431276</v>
      </c>
      <c r="N75" s="204">
        <f t="shared" si="8"/>
        <v>-143.01329974054434</v>
      </c>
      <c r="O75" s="203">
        <f t="shared" si="9"/>
        <v>0</v>
      </c>
      <c r="P75" s="203">
        <f t="shared" si="10"/>
        <v>0</v>
      </c>
      <c r="Q75" s="203">
        <v>0</v>
      </c>
      <c r="R75" s="204">
        <f t="shared" si="11"/>
        <v>-143.01329974054434</v>
      </c>
    </row>
    <row r="76" spans="1:18" x14ac:dyDescent="0.2">
      <c r="A76" s="161">
        <v>9</v>
      </c>
      <c r="B76" s="196">
        <f t="shared" si="4"/>
        <v>44805</v>
      </c>
      <c r="C76" s="216">
        <f t="shared" si="23"/>
        <v>44839</v>
      </c>
      <c r="D76" s="216">
        <f t="shared" si="23"/>
        <v>44859</v>
      </c>
      <c r="E76" s="205" t="s">
        <v>86</v>
      </c>
      <c r="F76" s="161">
        <v>9</v>
      </c>
      <c r="G76" s="198">
        <v>53</v>
      </c>
      <c r="H76" s="199">
        <f t="shared" si="5"/>
        <v>7.2418230508197396</v>
      </c>
      <c r="I76" s="199">
        <f t="shared" si="22"/>
        <v>4.7305566459474955</v>
      </c>
      <c r="J76" s="200">
        <f t="shared" si="2"/>
        <v>250.71950223521725</v>
      </c>
      <c r="K76" s="207">
        <f t="shared" si="13"/>
        <v>383.81662169344622</v>
      </c>
      <c r="L76" s="206">
        <f t="shared" si="24"/>
        <v>-133.09711945822897</v>
      </c>
      <c r="M76" s="203">
        <f t="shared" si="7"/>
        <v>-7.2677858426756616</v>
      </c>
      <c r="N76" s="204">
        <f t="shared" si="8"/>
        <v>-140.36490530090464</v>
      </c>
      <c r="O76" s="203">
        <f t="shared" si="9"/>
        <v>0</v>
      </c>
      <c r="P76" s="203">
        <f t="shared" si="10"/>
        <v>0</v>
      </c>
      <c r="Q76" s="203">
        <v>0</v>
      </c>
      <c r="R76" s="204">
        <f t="shared" si="11"/>
        <v>-140.36490530090464</v>
      </c>
    </row>
    <row r="77" spans="1:18" x14ac:dyDescent="0.2">
      <c r="A77" s="125">
        <v>10</v>
      </c>
      <c r="B77" s="196">
        <f t="shared" si="4"/>
        <v>44835</v>
      </c>
      <c r="C77" s="216">
        <f t="shared" si="23"/>
        <v>44868</v>
      </c>
      <c r="D77" s="216">
        <f t="shared" si="23"/>
        <v>44888</v>
      </c>
      <c r="E77" s="205" t="s">
        <v>86</v>
      </c>
      <c r="F77" s="161">
        <v>9</v>
      </c>
      <c r="G77" s="198">
        <v>31</v>
      </c>
      <c r="H77" s="199">
        <f t="shared" si="5"/>
        <v>7.2418230508197396</v>
      </c>
      <c r="I77" s="199">
        <f t="shared" si="22"/>
        <v>4.7305566459474955</v>
      </c>
      <c r="J77" s="200">
        <f t="shared" si="2"/>
        <v>146.64725602437235</v>
      </c>
      <c r="K77" s="207">
        <f t="shared" si="13"/>
        <v>224.49651457541194</v>
      </c>
      <c r="L77" s="206">
        <f t="shared" si="24"/>
        <v>-77.849258551039583</v>
      </c>
      <c r="M77" s="203">
        <f t="shared" si="7"/>
        <v>-4.2509690777914244</v>
      </c>
      <c r="N77" s="204">
        <f t="shared" si="8"/>
        <v>-82.100227628831007</v>
      </c>
      <c r="O77" s="203">
        <f t="shared" si="9"/>
        <v>0</v>
      </c>
      <c r="P77" s="203">
        <f t="shared" si="10"/>
        <v>0</v>
      </c>
      <c r="Q77" s="203">
        <v>0</v>
      </c>
      <c r="R77" s="204">
        <f t="shared" si="11"/>
        <v>-82.100227628831007</v>
      </c>
    </row>
    <row r="78" spans="1:18" x14ac:dyDescent="0.2">
      <c r="A78" s="161">
        <v>11</v>
      </c>
      <c r="B78" s="196">
        <f t="shared" si="4"/>
        <v>44866</v>
      </c>
      <c r="C78" s="216">
        <f t="shared" si="23"/>
        <v>44900</v>
      </c>
      <c r="D78" s="216">
        <f t="shared" si="23"/>
        <v>44918</v>
      </c>
      <c r="E78" s="205" t="s">
        <v>86</v>
      </c>
      <c r="F78" s="161">
        <v>9</v>
      </c>
      <c r="G78" s="198">
        <v>38</v>
      </c>
      <c r="H78" s="199">
        <f t="shared" si="5"/>
        <v>7.2418230508197396</v>
      </c>
      <c r="I78" s="199">
        <f t="shared" si="22"/>
        <v>4.7305566459474955</v>
      </c>
      <c r="J78" s="200">
        <f t="shared" si="2"/>
        <v>179.76115254600484</v>
      </c>
      <c r="K78" s="207">
        <f>+$G78*H78</f>
        <v>275.18927593115012</v>
      </c>
      <c r="L78" s="206">
        <f t="shared" si="24"/>
        <v>-95.428123385145284</v>
      </c>
      <c r="M78" s="203">
        <f t="shared" si="7"/>
        <v>-5.2108653211636824</v>
      </c>
      <c r="N78" s="204">
        <f t="shared" si="8"/>
        <v>-100.63898870630896</v>
      </c>
      <c r="O78" s="203">
        <f t="shared" si="9"/>
        <v>0</v>
      </c>
      <c r="P78" s="203">
        <f t="shared" si="10"/>
        <v>0</v>
      </c>
      <c r="Q78" s="203">
        <v>0</v>
      </c>
      <c r="R78" s="204">
        <f t="shared" si="11"/>
        <v>-100.63898870630896</v>
      </c>
    </row>
    <row r="79" spans="1:18" s="220" customFormat="1" x14ac:dyDescent="0.2">
      <c r="A79" s="161">
        <v>12</v>
      </c>
      <c r="B79" s="218">
        <f t="shared" si="4"/>
        <v>44896</v>
      </c>
      <c r="C79" s="221">
        <f t="shared" si="23"/>
        <v>44930</v>
      </c>
      <c r="D79" s="221">
        <f t="shared" si="23"/>
        <v>44950</v>
      </c>
      <c r="E79" s="222" t="s">
        <v>86</v>
      </c>
      <c r="F79" s="172">
        <v>9</v>
      </c>
      <c r="G79" s="198">
        <v>58</v>
      </c>
      <c r="H79" s="208">
        <f t="shared" si="5"/>
        <v>7.2418230508197396</v>
      </c>
      <c r="I79" s="208">
        <f t="shared" si="22"/>
        <v>4.7305566459474955</v>
      </c>
      <c r="J79" s="209">
        <f t="shared" si="2"/>
        <v>274.37228546495476</v>
      </c>
      <c r="K79" s="210">
        <f>+$G79*H79</f>
        <v>420.02573694754489</v>
      </c>
      <c r="L79" s="211">
        <f t="shared" si="24"/>
        <v>-145.65345148259013</v>
      </c>
      <c r="M79" s="203">
        <f t="shared" si="7"/>
        <v>-7.9534260165129886</v>
      </c>
      <c r="N79" s="204">
        <f t="shared" si="8"/>
        <v>-153.60687749910312</v>
      </c>
      <c r="O79" s="203">
        <f t="shared" si="9"/>
        <v>0</v>
      </c>
      <c r="P79" s="203">
        <f t="shared" si="10"/>
        <v>0</v>
      </c>
      <c r="Q79" s="203">
        <v>0</v>
      </c>
      <c r="R79" s="204">
        <f t="shared" si="11"/>
        <v>-153.60687749910312</v>
      </c>
    </row>
    <row r="80" spans="1:18" s="52" customFormat="1" ht="12.75" customHeight="1" x14ac:dyDescent="0.2">
      <c r="A80" s="125">
        <v>1</v>
      </c>
      <c r="B80" s="196">
        <f t="shared" si="4"/>
        <v>44562</v>
      </c>
      <c r="C80" s="213">
        <f t="shared" ref="C80:D91" si="25">+C56</f>
        <v>44595</v>
      </c>
      <c r="D80" s="213">
        <f t="shared" si="25"/>
        <v>44615</v>
      </c>
      <c r="E80" s="197" t="s">
        <v>9</v>
      </c>
      <c r="F80" s="125">
        <v>9</v>
      </c>
      <c r="G80" s="198">
        <v>50</v>
      </c>
      <c r="H80" s="199">
        <f t="shared" si="5"/>
        <v>7.2418230508197396</v>
      </c>
      <c r="I80" s="199">
        <f t="shared" si="22"/>
        <v>4.7305566459474955</v>
      </c>
      <c r="J80" s="200">
        <f t="shared" si="2"/>
        <v>236.52783229737477</v>
      </c>
      <c r="K80" s="201">
        <f t="shared" si="13"/>
        <v>362.09115254098697</v>
      </c>
      <c r="L80" s="202">
        <f t="shared" si="21"/>
        <v>-125.5633202436122</v>
      </c>
      <c r="M80" s="203">
        <f t="shared" si="7"/>
        <v>-6.8564017383732656</v>
      </c>
      <c r="N80" s="204">
        <f t="shared" si="8"/>
        <v>-132.41972198198548</v>
      </c>
      <c r="O80" s="203">
        <f t="shared" si="9"/>
        <v>0</v>
      </c>
      <c r="P80" s="203">
        <f t="shared" si="10"/>
        <v>0</v>
      </c>
      <c r="Q80" s="203">
        <v>0</v>
      </c>
      <c r="R80" s="204">
        <f t="shared" si="11"/>
        <v>-132.41972198198548</v>
      </c>
    </row>
    <row r="81" spans="1:18" x14ac:dyDescent="0.2">
      <c r="A81" s="161">
        <v>2</v>
      </c>
      <c r="B81" s="196">
        <f t="shared" si="4"/>
        <v>44593</v>
      </c>
      <c r="C81" s="216">
        <f t="shared" si="25"/>
        <v>44623</v>
      </c>
      <c r="D81" s="216">
        <f t="shared" si="25"/>
        <v>44642</v>
      </c>
      <c r="E81" s="205" t="s">
        <v>9</v>
      </c>
      <c r="F81" s="161">
        <v>9</v>
      </c>
      <c r="G81" s="198">
        <v>49</v>
      </c>
      <c r="H81" s="199">
        <f t="shared" si="5"/>
        <v>7.2418230508197396</v>
      </c>
      <c r="I81" s="199">
        <f t="shared" si="22"/>
        <v>4.7305566459474955</v>
      </c>
      <c r="J81" s="200">
        <f t="shared" si="2"/>
        <v>231.79727565142727</v>
      </c>
      <c r="K81" s="201">
        <f t="shared" si="13"/>
        <v>354.84932949016724</v>
      </c>
      <c r="L81" s="202">
        <f t="shared" si="21"/>
        <v>-123.05205383873997</v>
      </c>
      <c r="M81" s="203">
        <f t="shared" si="7"/>
        <v>-6.7192737036058006</v>
      </c>
      <c r="N81" s="204">
        <f t="shared" si="8"/>
        <v>-129.77132754234577</v>
      </c>
      <c r="O81" s="203">
        <f t="shared" si="9"/>
        <v>0</v>
      </c>
      <c r="P81" s="203">
        <f t="shared" si="10"/>
        <v>0</v>
      </c>
      <c r="Q81" s="203">
        <v>0</v>
      </c>
      <c r="R81" s="204">
        <f t="shared" si="11"/>
        <v>-129.77132754234577</v>
      </c>
    </row>
    <row r="82" spans="1:18" x14ac:dyDescent="0.2">
      <c r="A82" s="161">
        <v>3</v>
      </c>
      <c r="B82" s="196">
        <f t="shared" si="4"/>
        <v>44621</v>
      </c>
      <c r="C82" s="216">
        <f t="shared" si="25"/>
        <v>44656</v>
      </c>
      <c r="D82" s="216">
        <f t="shared" si="25"/>
        <v>44676</v>
      </c>
      <c r="E82" s="205" t="s">
        <v>9</v>
      </c>
      <c r="F82" s="161">
        <v>9</v>
      </c>
      <c r="G82" s="198">
        <v>45</v>
      </c>
      <c r="H82" s="199">
        <f t="shared" si="5"/>
        <v>7.2418230508197396</v>
      </c>
      <c r="I82" s="199">
        <f t="shared" si="22"/>
        <v>4.7305566459474955</v>
      </c>
      <c r="J82" s="200">
        <f t="shared" si="2"/>
        <v>212.87504906763729</v>
      </c>
      <c r="K82" s="201">
        <f t="shared" si="13"/>
        <v>325.88203728688831</v>
      </c>
      <c r="L82" s="202">
        <f>+J82-K82</f>
        <v>-113.00698821925101</v>
      </c>
      <c r="M82" s="203">
        <f t="shared" si="7"/>
        <v>-6.1707615645359395</v>
      </c>
      <c r="N82" s="204">
        <f t="shared" si="8"/>
        <v>-119.17774978378695</v>
      </c>
      <c r="O82" s="203">
        <f t="shared" si="9"/>
        <v>0</v>
      </c>
      <c r="P82" s="203">
        <f t="shared" si="10"/>
        <v>0</v>
      </c>
      <c r="Q82" s="203">
        <v>0</v>
      </c>
      <c r="R82" s="204">
        <f t="shared" si="11"/>
        <v>-119.17774978378695</v>
      </c>
    </row>
    <row r="83" spans="1:18" ht="12" customHeight="1" x14ac:dyDescent="0.2">
      <c r="A83" s="125">
        <v>4</v>
      </c>
      <c r="B83" s="196">
        <f t="shared" si="4"/>
        <v>44652</v>
      </c>
      <c r="C83" s="216">
        <f t="shared" si="25"/>
        <v>44685</v>
      </c>
      <c r="D83" s="216">
        <f t="shared" si="25"/>
        <v>44705</v>
      </c>
      <c r="E83" s="54" t="s">
        <v>9</v>
      </c>
      <c r="F83" s="161">
        <v>9</v>
      </c>
      <c r="G83" s="198">
        <v>34</v>
      </c>
      <c r="H83" s="199">
        <f t="shared" si="5"/>
        <v>7.2418230508197396</v>
      </c>
      <c r="I83" s="199">
        <f t="shared" si="22"/>
        <v>4.7305566459474955</v>
      </c>
      <c r="J83" s="200">
        <f t="shared" si="2"/>
        <v>160.83892596221486</v>
      </c>
      <c r="K83" s="201">
        <f t="shared" si="13"/>
        <v>246.22198372787113</v>
      </c>
      <c r="L83" s="202">
        <f t="shared" ref="L83:L93" si="26">+J83-K83</f>
        <v>-85.383057765656275</v>
      </c>
      <c r="M83" s="203">
        <f t="shared" si="7"/>
        <v>-4.6623531820938213</v>
      </c>
      <c r="N83" s="204">
        <f t="shared" si="8"/>
        <v>-90.045410947750099</v>
      </c>
      <c r="O83" s="203">
        <f t="shared" si="9"/>
        <v>0</v>
      </c>
      <c r="P83" s="203">
        <f t="shared" si="10"/>
        <v>0</v>
      </c>
      <c r="Q83" s="203">
        <v>0</v>
      </c>
      <c r="R83" s="204">
        <f t="shared" si="11"/>
        <v>-90.045410947750099</v>
      </c>
    </row>
    <row r="84" spans="1:18" ht="12" customHeight="1" x14ac:dyDescent="0.2">
      <c r="A84" s="161">
        <v>5</v>
      </c>
      <c r="B84" s="196">
        <f t="shared" si="4"/>
        <v>44682</v>
      </c>
      <c r="C84" s="216">
        <f t="shared" si="25"/>
        <v>44715</v>
      </c>
      <c r="D84" s="216">
        <f t="shared" si="25"/>
        <v>44735</v>
      </c>
      <c r="E84" s="54" t="s">
        <v>9</v>
      </c>
      <c r="F84" s="161">
        <v>9</v>
      </c>
      <c r="G84" s="198">
        <v>42</v>
      </c>
      <c r="H84" s="199">
        <f t="shared" si="5"/>
        <v>7.2418230508197396</v>
      </c>
      <c r="I84" s="199">
        <f t="shared" si="22"/>
        <v>4.7305566459474955</v>
      </c>
      <c r="J84" s="200">
        <f t="shared" si="2"/>
        <v>198.68337912979482</v>
      </c>
      <c r="K84" s="201">
        <f t="shared" si="13"/>
        <v>304.15656813442905</v>
      </c>
      <c r="L84" s="202">
        <f t="shared" si="26"/>
        <v>-105.47318900463424</v>
      </c>
      <c r="M84" s="203">
        <f t="shared" si="7"/>
        <v>-5.7593774602335435</v>
      </c>
      <c r="N84" s="204">
        <f t="shared" si="8"/>
        <v>-111.23256646486777</v>
      </c>
      <c r="O84" s="203">
        <f t="shared" si="9"/>
        <v>0</v>
      </c>
      <c r="P84" s="203">
        <f t="shared" si="10"/>
        <v>0</v>
      </c>
      <c r="Q84" s="203">
        <v>0</v>
      </c>
      <c r="R84" s="204">
        <f t="shared" si="11"/>
        <v>-111.23256646486777</v>
      </c>
    </row>
    <row r="85" spans="1:18" x14ac:dyDescent="0.2">
      <c r="A85" s="161">
        <v>6</v>
      </c>
      <c r="B85" s="196">
        <f t="shared" si="4"/>
        <v>44713</v>
      </c>
      <c r="C85" s="216">
        <f t="shared" si="25"/>
        <v>44747</v>
      </c>
      <c r="D85" s="216">
        <f t="shared" si="25"/>
        <v>44767</v>
      </c>
      <c r="E85" s="54" t="s">
        <v>9</v>
      </c>
      <c r="F85" s="161">
        <v>9</v>
      </c>
      <c r="G85" s="198">
        <v>49</v>
      </c>
      <c r="H85" s="199">
        <f t="shared" ref="H85:H148" si="27">+$K$3</f>
        <v>7.2418230508197396</v>
      </c>
      <c r="I85" s="199">
        <f t="shared" si="22"/>
        <v>4.7305566459474955</v>
      </c>
      <c r="J85" s="200">
        <f t="shared" si="2"/>
        <v>231.79727565142727</v>
      </c>
      <c r="K85" s="201">
        <f t="shared" si="13"/>
        <v>354.84932949016724</v>
      </c>
      <c r="L85" s="206">
        <f t="shared" si="26"/>
        <v>-123.05205383873997</v>
      </c>
      <c r="M85" s="203">
        <f t="shared" ref="M85:M148" si="28">G85/$G$212*$M$14</f>
        <v>-6.7192737036058006</v>
      </c>
      <c r="N85" s="204">
        <f t="shared" ref="N85:N148" si="29">SUM(L85:M85)</f>
        <v>-129.77132754234577</v>
      </c>
      <c r="O85" s="203">
        <f t="shared" ref="O85:O148" si="30">+$P$3</f>
        <v>0</v>
      </c>
      <c r="P85" s="203">
        <f t="shared" ref="P85:P148" si="31">+G85*O85</f>
        <v>0</v>
      </c>
      <c r="Q85" s="203">
        <v>0</v>
      </c>
      <c r="R85" s="204">
        <f t="shared" ref="R85:R148" si="32">+N85-Q85</f>
        <v>-129.77132754234577</v>
      </c>
    </row>
    <row r="86" spans="1:18" x14ac:dyDescent="0.2">
      <c r="A86" s="125">
        <v>7</v>
      </c>
      <c r="B86" s="196">
        <f t="shared" si="4"/>
        <v>44743</v>
      </c>
      <c r="C86" s="216">
        <f t="shared" si="25"/>
        <v>44776</v>
      </c>
      <c r="D86" s="216">
        <f t="shared" si="25"/>
        <v>44796</v>
      </c>
      <c r="E86" s="54" t="s">
        <v>9</v>
      </c>
      <c r="F86" s="161">
        <v>9</v>
      </c>
      <c r="G86" s="198">
        <v>54</v>
      </c>
      <c r="H86" s="199">
        <f t="shared" si="27"/>
        <v>7.2418230508197396</v>
      </c>
      <c r="I86" s="199">
        <f t="shared" si="22"/>
        <v>4.7305566459474955</v>
      </c>
      <c r="J86" s="200">
        <f t="shared" si="2"/>
        <v>255.45005888116475</v>
      </c>
      <c r="K86" s="207">
        <f t="shared" si="13"/>
        <v>391.05844474426596</v>
      </c>
      <c r="L86" s="206">
        <f t="shared" si="26"/>
        <v>-135.6083858631012</v>
      </c>
      <c r="M86" s="203">
        <f t="shared" si="28"/>
        <v>-7.4049138774431276</v>
      </c>
      <c r="N86" s="204">
        <f t="shared" si="29"/>
        <v>-143.01329974054434</v>
      </c>
      <c r="O86" s="203">
        <f t="shared" si="30"/>
        <v>0</v>
      </c>
      <c r="P86" s="203">
        <f t="shared" si="31"/>
        <v>0</v>
      </c>
      <c r="Q86" s="203">
        <v>0</v>
      </c>
      <c r="R86" s="204">
        <f t="shared" si="32"/>
        <v>-143.01329974054434</v>
      </c>
    </row>
    <row r="87" spans="1:18" x14ac:dyDescent="0.2">
      <c r="A87" s="161">
        <v>8</v>
      </c>
      <c r="B87" s="196">
        <f t="shared" si="4"/>
        <v>44774</v>
      </c>
      <c r="C87" s="216">
        <f t="shared" si="25"/>
        <v>44809</v>
      </c>
      <c r="D87" s="216">
        <f t="shared" si="25"/>
        <v>44827</v>
      </c>
      <c r="E87" s="54" t="s">
        <v>9</v>
      </c>
      <c r="F87" s="161">
        <v>9</v>
      </c>
      <c r="G87" s="198">
        <v>47</v>
      </c>
      <c r="H87" s="199">
        <f t="shared" si="27"/>
        <v>7.2418230508197396</v>
      </c>
      <c r="I87" s="199">
        <f t="shared" si="22"/>
        <v>4.7305566459474955</v>
      </c>
      <c r="J87" s="200">
        <f t="shared" si="2"/>
        <v>222.3361623595323</v>
      </c>
      <c r="K87" s="207">
        <f t="shared" si="13"/>
        <v>340.36568338852777</v>
      </c>
      <c r="L87" s="206">
        <f t="shared" si="26"/>
        <v>-118.02952102899548</v>
      </c>
      <c r="M87" s="203">
        <f t="shared" si="28"/>
        <v>-6.4450176340708696</v>
      </c>
      <c r="N87" s="204">
        <f t="shared" si="29"/>
        <v>-124.47453866306634</v>
      </c>
      <c r="O87" s="203">
        <f t="shared" si="30"/>
        <v>0</v>
      </c>
      <c r="P87" s="203">
        <f t="shared" si="31"/>
        <v>0</v>
      </c>
      <c r="Q87" s="203">
        <v>0</v>
      </c>
      <c r="R87" s="204">
        <f t="shared" si="32"/>
        <v>-124.47453866306634</v>
      </c>
    </row>
    <row r="88" spans="1:18" x14ac:dyDescent="0.2">
      <c r="A88" s="161">
        <v>9</v>
      </c>
      <c r="B88" s="196">
        <f t="shared" si="4"/>
        <v>44805</v>
      </c>
      <c r="C88" s="216">
        <f t="shared" si="25"/>
        <v>44839</v>
      </c>
      <c r="D88" s="216">
        <f t="shared" si="25"/>
        <v>44859</v>
      </c>
      <c r="E88" s="54" t="s">
        <v>9</v>
      </c>
      <c r="F88" s="161">
        <v>9</v>
      </c>
      <c r="G88" s="198">
        <v>47</v>
      </c>
      <c r="H88" s="199">
        <f t="shared" si="27"/>
        <v>7.2418230508197396</v>
      </c>
      <c r="I88" s="199">
        <f t="shared" si="22"/>
        <v>4.7305566459474955</v>
      </c>
      <c r="J88" s="200">
        <f t="shared" si="2"/>
        <v>222.3361623595323</v>
      </c>
      <c r="K88" s="207">
        <f t="shared" si="13"/>
        <v>340.36568338852777</v>
      </c>
      <c r="L88" s="206">
        <f t="shared" si="26"/>
        <v>-118.02952102899548</v>
      </c>
      <c r="M88" s="203">
        <f t="shared" si="28"/>
        <v>-6.4450176340708696</v>
      </c>
      <c r="N88" s="204">
        <f t="shared" si="29"/>
        <v>-124.47453866306634</v>
      </c>
      <c r="O88" s="203">
        <f t="shared" si="30"/>
        <v>0</v>
      </c>
      <c r="P88" s="203">
        <f t="shared" si="31"/>
        <v>0</v>
      </c>
      <c r="Q88" s="203">
        <v>0</v>
      </c>
      <c r="R88" s="204">
        <f t="shared" si="32"/>
        <v>-124.47453866306634</v>
      </c>
    </row>
    <row r="89" spans="1:18" x14ac:dyDescent="0.2">
      <c r="A89" s="125">
        <v>10</v>
      </c>
      <c r="B89" s="196">
        <f t="shared" si="4"/>
        <v>44835</v>
      </c>
      <c r="C89" s="216">
        <f t="shared" si="25"/>
        <v>44868</v>
      </c>
      <c r="D89" s="216">
        <f t="shared" si="25"/>
        <v>44888</v>
      </c>
      <c r="E89" s="54" t="s">
        <v>9</v>
      </c>
      <c r="F89" s="161">
        <v>9</v>
      </c>
      <c r="G89" s="198">
        <v>39</v>
      </c>
      <c r="H89" s="199">
        <f t="shared" si="27"/>
        <v>7.2418230508197396</v>
      </c>
      <c r="I89" s="199">
        <f t="shared" si="22"/>
        <v>4.7305566459474955</v>
      </c>
      <c r="J89" s="200">
        <f t="shared" si="2"/>
        <v>184.49170919195231</v>
      </c>
      <c r="K89" s="207">
        <f t="shared" si="13"/>
        <v>282.43109898196985</v>
      </c>
      <c r="L89" s="206">
        <f t="shared" si="26"/>
        <v>-97.939389790017543</v>
      </c>
      <c r="M89" s="203">
        <f t="shared" si="28"/>
        <v>-5.3479933559311466</v>
      </c>
      <c r="N89" s="204">
        <f t="shared" si="29"/>
        <v>-103.2873831459487</v>
      </c>
      <c r="O89" s="203">
        <f t="shared" si="30"/>
        <v>0</v>
      </c>
      <c r="P89" s="203">
        <f t="shared" si="31"/>
        <v>0</v>
      </c>
      <c r="Q89" s="203">
        <v>0</v>
      </c>
      <c r="R89" s="204">
        <f t="shared" si="32"/>
        <v>-103.2873831459487</v>
      </c>
    </row>
    <row r="90" spans="1:18" x14ac:dyDescent="0.2">
      <c r="A90" s="161">
        <v>11</v>
      </c>
      <c r="B90" s="196">
        <f t="shared" si="4"/>
        <v>44866</v>
      </c>
      <c r="C90" s="216">
        <f t="shared" si="25"/>
        <v>44900</v>
      </c>
      <c r="D90" s="216">
        <f t="shared" si="25"/>
        <v>44918</v>
      </c>
      <c r="E90" s="54" t="s">
        <v>9</v>
      </c>
      <c r="F90" s="161">
        <v>9</v>
      </c>
      <c r="G90" s="198">
        <v>45</v>
      </c>
      <c r="H90" s="199">
        <f t="shared" si="27"/>
        <v>7.2418230508197396</v>
      </c>
      <c r="I90" s="199">
        <f t="shared" si="22"/>
        <v>4.7305566459474955</v>
      </c>
      <c r="J90" s="200">
        <f t="shared" si="2"/>
        <v>212.87504906763729</v>
      </c>
      <c r="K90" s="207">
        <f t="shared" si="13"/>
        <v>325.88203728688831</v>
      </c>
      <c r="L90" s="206">
        <f t="shared" si="26"/>
        <v>-113.00698821925101</v>
      </c>
      <c r="M90" s="203">
        <f t="shared" si="28"/>
        <v>-6.1707615645359395</v>
      </c>
      <c r="N90" s="204">
        <f t="shared" si="29"/>
        <v>-119.17774978378695</v>
      </c>
      <c r="O90" s="203">
        <f t="shared" si="30"/>
        <v>0</v>
      </c>
      <c r="P90" s="203">
        <f t="shared" si="31"/>
        <v>0</v>
      </c>
      <c r="Q90" s="203">
        <v>0</v>
      </c>
      <c r="R90" s="204">
        <f t="shared" si="32"/>
        <v>-119.17774978378695</v>
      </c>
    </row>
    <row r="91" spans="1:18" s="220" customFormat="1" x14ac:dyDescent="0.2">
      <c r="A91" s="161">
        <v>12</v>
      </c>
      <c r="B91" s="218">
        <f t="shared" si="4"/>
        <v>44896</v>
      </c>
      <c r="C91" s="216">
        <f t="shared" si="25"/>
        <v>44930</v>
      </c>
      <c r="D91" s="216">
        <f t="shared" si="25"/>
        <v>44950</v>
      </c>
      <c r="E91" s="219" t="s">
        <v>9</v>
      </c>
      <c r="F91" s="172">
        <v>9</v>
      </c>
      <c r="G91" s="198">
        <v>61</v>
      </c>
      <c r="H91" s="208">
        <f t="shared" si="27"/>
        <v>7.2418230508197396</v>
      </c>
      <c r="I91" s="208">
        <f t="shared" si="22"/>
        <v>4.7305566459474955</v>
      </c>
      <c r="J91" s="209">
        <f t="shared" si="2"/>
        <v>288.56395540279721</v>
      </c>
      <c r="K91" s="210">
        <f t="shared" si="13"/>
        <v>441.75120610000414</v>
      </c>
      <c r="L91" s="211">
        <f t="shared" si="26"/>
        <v>-153.18725069720693</v>
      </c>
      <c r="M91" s="203">
        <f t="shared" si="28"/>
        <v>-8.3648101208153829</v>
      </c>
      <c r="N91" s="204">
        <f t="shared" si="29"/>
        <v>-161.55206081802231</v>
      </c>
      <c r="O91" s="203">
        <f t="shared" si="30"/>
        <v>0</v>
      </c>
      <c r="P91" s="203">
        <f t="shared" si="31"/>
        <v>0</v>
      </c>
      <c r="Q91" s="203">
        <v>0</v>
      </c>
      <c r="R91" s="204">
        <f t="shared" si="32"/>
        <v>-161.55206081802231</v>
      </c>
    </row>
    <row r="92" spans="1:18" x14ac:dyDescent="0.2">
      <c r="A92" s="125">
        <v>1</v>
      </c>
      <c r="B92" s="196">
        <f t="shared" si="4"/>
        <v>44562</v>
      </c>
      <c r="C92" s="213">
        <f t="shared" ref="C92:D95" si="33">+C80</f>
        <v>44595</v>
      </c>
      <c r="D92" s="213">
        <f t="shared" si="33"/>
        <v>44615</v>
      </c>
      <c r="E92" s="197" t="s">
        <v>8</v>
      </c>
      <c r="F92" s="125">
        <v>9</v>
      </c>
      <c r="G92" s="198">
        <v>92</v>
      </c>
      <c r="H92" s="199">
        <f t="shared" si="27"/>
        <v>7.2418230508197396</v>
      </c>
      <c r="I92" s="199">
        <f t="shared" si="22"/>
        <v>4.7305566459474955</v>
      </c>
      <c r="J92" s="200">
        <f t="shared" si="2"/>
        <v>435.21121142716959</v>
      </c>
      <c r="K92" s="201">
        <f t="shared" si="13"/>
        <v>666.24772067541608</v>
      </c>
      <c r="L92" s="202">
        <f t="shared" si="26"/>
        <v>-231.03650924824649</v>
      </c>
      <c r="M92" s="203">
        <f t="shared" si="28"/>
        <v>-12.615779198606809</v>
      </c>
      <c r="N92" s="204">
        <f t="shared" si="29"/>
        <v>-243.65228844685331</v>
      </c>
      <c r="O92" s="203">
        <f t="shared" si="30"/>
        <v>0</v>
      </c>
      <c r="P92" s="203">
        <f t="shared" si="31"/>
        <v>0</v>
      </c>
      <c r="Q92" s="203">
        <v>0</v>
      </c>
      <c r="R92" s="204">
        <f t="shared" si="32"/>
        <v>-243.65228844685331</v>
      </c>
    </row>
    <row r="93" spans="1:18" x14ac:dyDescent="0.2">
      <c r="A93" s="161">
        <v>2</v>
      </c>
      <c r="B93" s="196">
        <f t="shared" si="4"/>
        <v>44593</v>
      </c>
      <c r="C93" s="216">
        <f t="shared" si="33"/>
        <v>44623</v>
      </c>
      <c r="D93" s="216">
        <f t="shared" si="33"/>
        <v>44642</v>
      </c>
      <c r="E93" s="205" t="s">
        <v>8</v>
      </c>
      <c r="F93" s="161">
        <v>9</v>
      </c>
      <c r="G93" s="198">
        <v>88</v>
      </c>
      <c r="H93" s="199">
        <f t="shared" si="27"/>
        <v>7.2418230508197396</v>
      </c>
      <c r="I93" s="199">
        <f t="shared" si="22"/>
        <v>4.7305566459474955</v>
      </c>
      <c r="J93" s="200">
        <f t="shared" si="2"/>
        <v>416.28898484337958</v>
      </c>
      <c r="K93" s="201">
        <f t="shared" si="13"/>
        <v>637.28042847213715</v>
      </c>
      <c r="L93" s="202">
        <f t="shared" si="26"/>
        <v>-220.99144362875757</v>
      </c>
      <c r="M93" s="203">
        <f t="shared" si="28"/>
        <v>-12.067267059536947</v>
      </c>
      <c r="N93" s="204">
        <f t="shared" si="29"/>
        <v>-233.05871068829452</v>
      </c>
      <c r="O93" s="203">
        <f t="shared" si="30"/>
        <v>0</v>
      </c>
      <c r="P93" s="203">
        <f t="shared" si="31"/>
        <v>0</v>
      </c>
      <c r="Q93" s="203">
        <v>0</v>
      </c>
      <c r="R93" s="204">
        <f t="shared" si="32"/>
        <v>-233.05871068829452</v>
      </c>
    </row>
    <row r="94" spans="1:18" x14ac:dyDescent="0.2">
      <c r="A94" s="161">
        <v>3</v>
      </c>
      <c r="B94" s="196">
        <f t="shared" si="4"/>
        <v>44621</v>
      </c>
      <c r="C94" s="216">
        <f t="shared" si="33"/>
        <v>44656</v>
      </c>
      <c r="D94" s="216">
        <f t="shared" si="33"/>
        <v>44676</v>
      </c>
      <c r="E94" s="205" t="s">
        <v>8</v>
      </c>
      <c r="F94" s="161">
        <v>9</v>
      </c>
      <c r="G94" s="198">
        <v>71</v>
      </c>
      <c r="H94" s="199">
        <f t="shared" si="27"/>
        <v>7.2418230508197396</v>
      </c>
      <c r="I94" s="199">
        <f t="shared" si="22"/>
        <v>4.7305566459474955</v>
      </c>
      <c r="J94" s="200">
        <f t="shared" si="2"/>
        <v>335.86952186227217</v>
      </c>
      <c r="K94" s="201">
        <f t="shared" ref="K94:K133" si="34">+$G94*H94</f>
        <v>514.16943660820152</v>
      </c>
      <c r="L94" s="202">
        <f>+J94-K94</f>
        <v>-178.29991474592936</v>
      </c>
      <c r="M94" s="203">
        <f t="shared" si="28"/>
        <v>-9.7360904684900369</v>
      </c>
      <c r="N94" s="204">
        <f t="shared" si="29"/>
        <v>-188.03600521441939</v>
      </c>
      <c r="O94" s="203">
        <f t="shared" si="30"/>
        <v>0</v>
      </c>
      <c r="P94" s="203">
        <f t="shared" si="31"/>
        <v>0</v>
      </c>
      <c r="Q94" s="203">
        <v>0</v>
      </c>
      <c r="R94" s="204">
        <f t="shared" si="32"/>
        <v>-188.03600521441939</v>
      </c>
    </row>
    <row r="95" spans="1:18" x14ac:dyDescent="0.2">
      <c r="A95" s="125">
        <v>4</v>
      </c>
      <c r="B95" s="196">
        <f t="shared" si="4"/>
        <v>44652</v>
      </c>
      <c r="C95" s="216">
        <f t="shared" si="33"/>
        <v>44685</v>
      </c>
      <c r="D95" s="216">
        <f t="shared" si="33"/>
        <v>44705</v>
      </c>
      <c r="E95" s="205" t="s">
        <v>8</v>
      </c>
      <c r="F95" s="161">
        <v>9</v>
      </c>
      <c r="G95" s="198">
        <v>76</v>
      </c>
      <c r="H95" s="199">
        <f t="shared" si="27"/>
        <v>7.2418230508197396</v>
      </c>
      <c r="I95" s="199">
        <f t="shared" si="22"/>
        <v>4.7305566459474955</v>
      </c>
      <c r="J95" s="200">
        <f t="shared" si="2"/>
        <v>359.52230509200967</v>
      </c>
      <c r="K95" s="201">
        <f t="shared" si="34"/>
        <v>550.37855186230024</v>
      </c>
      <c r="L95" s="202">
        <f t="shared" ref="L95:L105" si="35">+J95-K95</f>
        <v>-190.85624677029057</v>
      </c>
      <c r="M95" s="203">
        <f t="shared" si="28"/>
        <v>-10.421730642327365</v>
      </c>
      <c r="N95" s="204">
        <f t="shared" si="29"/>
        <v>-201.27797741261793</v>
      </c>
      <c r="O95" s="203">
        <f t="shared" si="30"/>
        <v>0</v>
      </c>
      <c r="P95" s="203">
        <f t="shared" si="31"/>
        <v>0</v>
      </c>
      <c r="Q95" s="203">
        <v>0</v>
      </c>
      <c r="R95" s="204">
        <f t="shared" si="32"/>
        <v>-201.27797741261793</v>
      </c>
    </row>
    <row r="96" spans="1:18" x14ac:dyDescent="0.2">
      <c r="A96" s="161">
        <v>5</v>
      </c>
      <c r="B96" s="196">
        <f t="shared" si="4"/>
        <v>44682</v>
      </c>
      <c r="C96" s="216">
        <f t="shared" ref="C96:D116" si="36">+C84</f>
        <v>44715</v>
      </c>
      <c r="D96" s="216">
        <f t="shared" si="36"/>
        <v>44735</v>
      </c>
      <c r="E96" s="54" t="s">
        <v>8</v>
      </c>
      <c r="F96" s="161">
        <v>9</v>
      </c>
      <c r="G96" s="198">
        <v>134</v>
      </c>
      <c r="H96" s="199">
        <f t="shared" si="27"/>
        <v>7.2418230508197396</v>
      </c>
      <c r="I96" s="199">
        <f t="shared" si="22"/>
        <v>4.7305566459474955</v>
      </c>
      <c r="J96" s="200">
        <f t="shared" si="2"/>
        <v>633.89459055696443</v>
      </c>
      <c r="K96" s="201">
        <f t="shared" si="34"/>
        <v>970.40428880984507</v>
      </c>
      <c r="L96" s="202">
        <f t="shared" si="35"/>
        <v>-336.50969825288064</v>
      </c>
      <c r="M96" s="203">
        <f t="shared" si="28"/>
        <v>-18.375156658840353</v>
      </c>
      <c r="N96" s="204">
        <f t="shared" si="29"/>
        <v>-354.88485491172099</v>
      </c>
      <c r="O96" s="203">
        <f t="shared" si="30"/>
        <v>0</v>
      </c>
      <c r="P96" s="203">
        <f t="shared" si="31"/>
        <v>0</v>
      </c>
      <c r="Q96" s="203">
        <v>0</v>
      </c>
      <c r="R96" s="204">
        <f t="shared" si="32"/>
        <v>-354.88485491172099</v>
      </c>
    </row>
    <row r="97" spans="1:18" x14ac:dyDescent="0.2">
      <c r="A97" s="161">
        <v>6</v>
      </c>
      <c r="B97" s="196">
        <f t="shared" si="4"/>
        <v>44713</v>
      </c>
      <c r="C97" s="216">
        <f t="shared" si="36"/>
        <v>44747</v>
      </c>
      <c r="D97" s="216">
        <f t="shared" si="36"/>
        <v>44767</v>
      </c>
      <c r="E97" s="54" t="s">
        <v>8</v>
      </c>
      <c r="F97" s="161">
        <v>9</v>
      </c>
      <c r="G97" s="198">
        <v>145</v>
      </c>
      <c r="H97" s="199">
        <f t="shared" si="27"/>
        <v>7.2418230508197396</v>
      </c>
      <c r="I97" s="199">
        <f t="shared" si="22"/>
        <v>4.7305566459474955</v>
      </c>
      <c r="J97" s="200">
        <f t="shared" si="2"/>
        <v>685.93071366238689</v>
      </c>
      <c r="K97" s="201">
        <f t="shared" si="34"/>
        <v>1050.0643423688623</v>
      </c>
      <c r="L97" s="206">
        <f t="shared" si="35"/>
        <v>-364.13362870647541</v>
      </c>
      <c r="M97" s="203">
        <f t="shared" si="28"/>
        <v>-19.88356504128247</v>
      </c>
      <c r="N97" s="204">
        <f t="shared" si="29"/>
        <v>-384.01719374775786</v>
      </c>
      <c r="O97" s="203">
        <f t="shared" si="30"/>
        <v>0</v>
      </c>
      <c r="P97" s="203">
        <f t="shared" si="31"/>
        <v>0</v>
      </c>
      <c r="Q97" s="203">
        <v>0</v>
      </c>
      <c r="R97" s="204">
        <f t="shared" si="32"/>
        <v>-384.01719374775786</v>
      </c>
    </row>
    <row r="98" spans="1:18" x14ac:dyDescent="0.2">
      <c r="A98" s="125">
        <v>7</v>
      </c>
      <c r="B98" s="196">
        <f t="shared" si="4"/>
        <v>44743</v>
      </c>
      <c r="C98" s="216">
        <f t="shared" si="36"/>
        <v>44776</v>
      </c>
      <c r="D98" s="216">
        <f t="shared" si="36"/>
        <v>44796</v>
      </c>
      <c r="E98" s="54" t="s">
        <v>8</v>
      </c>
      <c r="F98" s="161">
        <v>9</v>
      </c>
      <c r="G98" s="198">
        <v>161</v>
      </c>
      <c r="H98" s="199">
        <f t="shared" si="27"/>
        <v>7.2418230508197396</v>
      </c>
      <c r="I98" s="199">
        <f t="shared" si="22"/>
        <v>4.7305566459474955</v>
      </c>
      <c r="J98" s="200">
        <f t="shared" si="2"/>
        <v>761.61961999754681</v>
      </c>
      <c r="K98" s="207">
        <f t="shared" si="34"/>
        <v>1165.933511181978</v>
      </c>
      <c r="L98" s="206">
        <f t="shared" si="35"/>
        <v>-404.31389118443121</v>
      </c>
      <c r="M98" s="203">
        <f t="shared" si="28"/>
        <v>-22.077613597561914</v>
      </c>
      <c r="N98" s="204">
        <f t="shared" si="29"/>
        <v>-426.39150478199315</v>
      </c>
      <c r="O98" s="203">
        <f t="shared" si="30"/>
        <v>0</v>
      </c>
      <c r="P98" s="203">
        <f t="shared" si="31"/>
        <v>0</v>
      </c>
      <c r="Q98" s="203">
        <v>0</v>
      </c>
      <c r="R98" s="204">
        <f t="shared" si="32"/>
        <v>-426.39150478199315</v>
      </c>
    </row>
    <row r="99" spans="1:18" x14ac:dyDescent="0.2">
      <c r="A99" s="161">
        <v>8</v>
      </c>
      <c r="B99" s="196">
        <f t="shared" si="4"/>
        <v>44774</v>
      </c>
      <c r="C99" s="216">
        <f t="shared" si="36"/>
        <v>44809</v>
      </c>
      <c r="D99" s="216">
        <f t="shared" si="36"/>
        <v>44827</v>
      </c>
      <c r="E99" s="54" t="s">
        <v>8</v>
      </c>
      <c r="F99" s="161">
        <v>9</v>
      </c>
      <c r="G99" s="198">
        <v>154</v>
      </c>
      <c r="H99" s="199">
        <f t="shared" si="27"/>
        <v>7.2418230508197396</v>
      </c>
      <c r="I99" s="199">
        <f t="shared" si="22"/>
        <v>4.7305566459474955</v>
      </c>
      <c r="J99" s="200">
        <f t="shared" si="2"/>
        <v>728.50572347591435</v>
      </c>
      <c r="K99" s="207">
        <f t="shared" si="34"/>
        <v>1115.2407498262398</v>
      </c>
      <c r="L99" s="206">
        <f t="shared" si="35"/>
        <v>-386.73502635032548</v>
      </c>
      <c r="M99" s="203">
        <f t="shared" si="28"/>
        <v>-21.117717354189658</v>
      </c>
      <c r="N99" s="204">
        <f t="shared" si="29"/>
        <v>-407.85274370451515</v>
      </c>
      <c r="O99" s="203">
        <f t="shared" si="30"/>
        <v>0</v>
      </c>
      <c r="P99" s="203">
        <f t="shared" si="31"/>
        <v>0</v>
      </c>
      <c r="Q99" s="203">
        <v>0</v>
      </c>
      <c r="R99" s="204">
        <f t="shared" si="32"/>
        <v>-407.85274370451515</v>
      </c>
    </row>
    <row r="100" spans="1:18" x14ac:dyDescent="0.2">
      <c r="A100" s="161">
        <v>9</v>
      </c>
      <c r="B100" s="196">
        <f t="shared" si="4"/>
        <v>44805</v>
      </c>
      <c r="C100" s="216">
        <f t="shared" si="36"/>
        <v>44839</v>
      </c>
      <c r="D100" s="216">
        <f t="shared" si="36"/>
        <v>44859</v>
      </c>
      <c r="E100" s="54" t="s">
        <v>8</v>
      </c>
      <c r="F100" s="161">
        <v>9</v>
      </c>
      <c r="G100" s="198">
        <v>132</v>
      </c>
      <c r="H100" s="199">
        <f t="shared" si="27"/>
        <v>7.2418230508197396</v>
      </c>
      <c r="I100" s="199">
        <f t="shared" si="22"/>
        <v>4.7305566459474955</v>
      </c>
      <c r="J100" s="200">
        <f t="shared" si="2"/>
        <v>624.43347726506943</v>
      </c>
      <c r="K100" s="207">
        <f t="shared" si="34"/>
        <v>955.92064270820561</v>
      </c>
      <c r="L100" s="206">
        <f t="shared" si="35"/>
        <v>-331.48716544313618</v>
      </c>
      <c r="M100" s="203">
        <f t="shared" si="28"/>
        <v>-18.100900589305422</v>
      </c>
      <c r="N100" s="204">
        <f t="shared" si="29"/>
        <v>-349.58806603244159</v>
      </c>
      <c r="O100" s="203">
        <f t="shared" si="30"/>
        <v>0</v>
      </c>
      <c r="P100" s="203">
        <f t="shared" si="31"/>
        <v>0</v>
      </c>
      <c r="Q100" s="203">
        <v>0</v>
      </c>
      <c r="R100" s="204">
        <f t="shared" si="32"/>
        <v>-349.58806603244159</v>
      </c>
    </row>
    <row r="101" spans="1:18" x14ac:dyDescent="0.2">
      <c r="A101" s="125">
        <v>10</v>
      </c>
      <c r="B101" s="196">
        <f t="shared" si="4"/>
        <v>44835</v>
      </c>
      <c r="C101" s="216">
        <f t="shared" si="36"/>
        <v>44868</v>
      </c>
      <c r="D101" s="216">
        <f t="shared" si="36"/>
        <v>44888</v>
      </c>
      <c r="E101" s="54" t="s">
        <v>8</v>
      </c>
      <c r="F101" s="161">
        <v>9</v>
      </c>
      <c r="G101" s="198">
        <v>91</v>
      </c>
      <c r="H101" s="199">
        <f t="shared" si="27"/>
        <v>7.2418230508197396</v>
      </c>
      <c r="I101" s="199">
        <f t="shared" si="22"/>
        <v>4.7305566459474955</v>
      </c>
      <c r="J101" s="200">
        <f t="shared" si="2"/>
        <v>430.48065478122209</v>
      </c>
      <c r="K101" s="207">
        <f t="shared" si="34"/>
        <v>659.00589762459629</v>
      </c>
      <c r="L101" s="206">
        <f t="shared" si="35"/>
        <v>-228.5252428433742</v>
      </c>
      <c r="M101" s="203">
        <f t="shared" si="28"/>
        <v>-12.478651163839343</v>
      </c>
      <c r="N101" s="204">
        <f t="shared" si="29"/>
        <v>-241.00389400721355</v>
      </c>
      <c r="O101" s="203">
        <f t="shared" si="30"/>
        <v>0</v>
      </c>
      <c r="P101" s="203">
        <f t="shared" si="31"/>
        <v>0</v>
      </c>
      <c r="Q101" s="203">
        <v>0</v>
      </c>
      <c r="R101" s="204">
        <f t="shared" si="32"/>
        <v>-241.00389400721355</v>
      </c>
    </row>
    <row r="102" spans="1:18" x14ac:dyDescent="0.2">
      <c r="A102" s="161">
        <v>11</v>
      </c>
      <c r="B102" s="196">
        <f t="shared" si="4"/>
        <v>44866</v>
      </c>
      <c r="C102" s="216">
        <f t="shared" si="36"/>
        <v>44900</v>
      </c>
      <c r="D102" s="216">
        <f t="shared" si="36"/>
        <v>44918</v>
      </c>
      <c r="E102" s="54" t="s">
        <v>8</v>
      </c>
      <c r="F102" s="161">
        <v>9</v>
      </c>
      <c r="G102" s="198">
        <v>67</v>
      </c>
      <c r="H102" s="199">
        <f t="shared" si="27"/>
        <v>7.2418230508197396</v>
      </c>
      <c r="I102" s="199">
        <f t="shared" si="22"/>
        <v>4.7305566459474955</v>
      </c>
      <c r="J102" s="200">
        <f t="shared" si="2"/>
        <v>316.94729527848222</v>
      </c>
      <c r="K102" s="207">
        <f t="shared" si="34"/>
        <v>485.20214440492254</v>
      </c>
      <c r="L102" s="206">
        <f t="shared" si="35"/>
        <v>-168.25484912644032</v>
      </c>
      <c r="M102" s="203">
        <f t="shared" si="28"/>
        <v>-9.1875783294201767</v>
      </c>
      <c r="N102" s="204">
        <f t="shared" si="29"/>
        <v>-177.4424274558605</v>
      </c>
      <c r="O102" s="203">
        <f t="shared" si="30"/>
        <v>0</v>
      </c>
      <c r="P102" s="203">
        <f t="shared" si="31"/>
        <v>0</v>
      </c>
      <c r="Q102" s="203">
        <v>0</v>
      </c>
      <c r="R102" s="204">
        <f t="shared" si="32"/>
        <v>-177.4424274558605</v>
      </c>
    </row>
    <row r="103" spans="1:18" s="220" customFormat="1" x14ac:dyDescent="0.2">
      <c r="A103" s="161">
        <v>12</v>
      </c>
      <c r="B103" s="218">
        <f t="shared" si="4"/>
        <v>44896</v>
      </c>
      <c r="C103" s="216">
        <f t="shared" si="36"/>
        <v>44930</v>
      </c>
      <c r="D103" s="216">
        <f t="shared" si="36"/>
        <v>44950</v>
      </c>
      <c r="E103" s="219" t="s">
        <v>8</v>
      </c>
      <c r="F103" s="172">
        <v>9</v>
      </c>
      <c r="G103" s="198">
        <v>96</v>
      </c>
      <c r="H103" s="208">
        <f t="shared" si="27"/>
        <v>7.2418230508197396</v>
      </c>
      <c r="I103" s="208">
        <f t="shared" si="22"/>
        <v>4.7305566459474955</v>
      </c>
      <c r="J103" s="209">
        <f t="shared" si="2"/>
        <v>454.13343801095959</v>
      </c>
      <c r="K103" s="210">
        <f t="shared" si="34"/>
        <v>695.21501287869501</v>
      </c>
      <c r="L103" s="211">
        <f t="shared" si="35"/>
        <v>-241.08157486773541</v>
      </c>
      <c r="M103" s="203">
        <f t="shared" si="28"/>
        <v>-13.164291337676669</v>
      </c>
      <c r="N103" s="204">
        <f t="shared" si="29"/>
        <v>-254.24586620541209</v>
      </c>
      <c r="O103" s="203">
        <f t="shared" si="30"/>
        <v>0</v>
      </c>
      <c r="P103" s="203">
        <f t="shared" si="31"/>
        <v>0</v>
      </c>
      <c r="Q103" s="203">
        <v>0</v>
      </c>
      <c r="R103" s="204">
        <f t="shared" si="32"/>
        <v>-254.24586620541209</v>
      </c>
    </row>
    <row r="104" spans="1:18" x14ac:dyDescent="0.2">
      <c r="A104" s="125">
        <v>1</v>
      </c>
      <c r="B104" s="196">
        <f t="shared" si="4"/>
        <v>44562</v>
      </c>
      <c r="C104" s="213">
        <f t="shared" si="36"/>
        <v>44595</v>
      </c>
      <c r="D104" s="213">
        <f t="shared" si="36"/>
        <v>44615</v>
      </c>
      <c r="E104" s="197" t="s">
        <v>19</v>
      </c>
      <c r="F104" s="125">
        <v>9</v>
      </c>
      <c r="G104" s="198">
        <v>42</v>
      </c>
      <c r="H104" s="199">
        <f t="shared" si="27"/>
        <v>7.2418230508197396</v>
      </c>
      <c r="I104" s="199">
        <f t="shared" si="22"/>
        <v>4.7305566459474955</v>
      </c>
      <c r="J104" s="200">
        <f t="shared" si="2"/>
        <v>198.68337912979482</v>
      </c>
      <c r="K104" s="201">
        <f t="shared" si="34"/>
        <v>304.15656813442905</v>
      </c>
      <c r="L104" s="202">
        <f t="shared" si="35"/>
        <v>-105.47318900463424</v>
      </c>
      <c r="M104" s="203">
        <f t="shared" si="28"/>
        <v>-5.7593774602335435</v>
      </c>
      <c r="N104" s="204">
        <f t="shared" si="29"/>
        <v>-111.23256646486777</v>
      </c>
      <c r="O104" s="203">
        <f t="shared" si="30"/>
        <v>0</v>
      </c>
      <c r="P104" s="203">
        <f t="shared" si="31"/>
        <v>0</v>
      </c>
      <c r="Q104" s="203">
        <v>0</v>
      </c>
      <c r="R104" s="204">
        <f t="shared" si="32"/>
        <v>-111.23256646486777</v>
      </c>
    </row>
    <row r="105" spans="1:18" x14ac:dyDescent="0.2">
      <c r="A105" s="161">
        <v>2</v>
      </c>
      <c r="B105" s="196">
        <f t="shared" si="4"/>
        <v>44593</v>
      </c>
      <c r="C105" s="216">
        <f t="shared" si="36"/>
        <v>44623</v>
      </c>
      <c r="D105" s="216">
        <f t="shared" si="36"/>
        <v>44642</v>
      </c>
      <c r="E105" s="205" t="s">
        <v>19</v>
      </c>
      <c r="F105" s="161">
        <v>9</v>
      </c>
      <c r="G105" s="198">
        <v>43</v>
      </c>
      <c r="H105" s="199">
        <f t="shared" si="27"/>
        <v>7.2418230508197396</v>
      </c>
      <c r="I105" s="199">
        <f t="shared" si="22"/>
        <v>4.7305566459474955</v>
      </c>
      <c r="J105" s="200">
        <f t="shared" si="2"/>
        <v>203.41393577574232</v>
      </c>
      <c r="K105" s="201">
        <f t="shared" si="34"/>
        <v>311.39839118524878</v>
      </c>
      <c r="L105" s="202">
        <f t="shared" si="35"/>
        <v>-107.98445540950647</v>
      </c>
      <c r="M105" s="203">
        <f t="shared" si="28"/>
        <v>-5.8965054950010085</v>
      </c>
      <c r="N105" s="204">
        <f t="shared" si="29"/>
        <v>-113.88096090450748</v>
      </c>
      <c r="O105" s="203">
        <f t="shared" si="30"/>
        <v>0</v>
      </c>
      <c r="P105" s="203">
        <f t="shared" si="31"/>
        <v>0</v>
      </c>
      <c r="Q105" s="203">
        <v>0</v>
      </c>
      <c r="R105" s="204">
        <f t="shared" si="32"/>
        <v>-113.88096090450748</v>
      </c>
    </row>
    <row r="106" spans="1:18" x14ac:dyDescent="0.2">
      <c r="A106" s="161">
        <v>3</v>
      </c>
      <c r="B106" s="196">
        <f t="shared" si="4"/>
        <v>44621</v>
      </c>
      <c r="C106" s="216">
        <f t="shared" si="36"/>
        <v>44656</v>
      </c>
      <c r="D106" s="216">
        <f t="shared" si="36"/>
        <v>44676</v>
      </c>
      <c r="E106" s="205" t="s">
        <v>19</v>
      </c>
      <c r="F106" s="161">
        <v>9</v>
      </c>
      <c r="G106" s="198">
        <v>42</v>
      </c>
      <c r="H106" s="199">
        <f t="shared" si="27"/>
        <v>7.2418230508197396</v>
      </c>
      <c r="I106" s="199">
        <f t="shared" si="22"/>
        <v>4.7305566459474955</v>
      </c>
      <c r="J106" s="200">
        <f t="shared" si="2"/>
        <v>198.68337912979482</v>
      </c>
      <c r="K106" s="201">
        <f t="shared" si="34"/>
        <v>304.15656813442905</v>
      </c>
      <c r="L106" s="202">
        <f>+J106-K106</f>
        <v>-105.47318900463424</v>
      </c>
      <c r="M106" s="203">
        <f t="shared" si="28"/>
        <v>-5.7593774602335435</v>
      </c>
      <c r="N106" s="204">
        <f t="shared" si="29"/>
        <v>-111.23256646486777</v>
      </c>
      <c r="O106" s="203">
        <f t="shared" si="30"/>
        <v>0</v>
      </c>
      <c r="P106" s="203">
        <f t="shared" si="31"/>
        <v>0</v>
      </c>
      <c r="Q106" s="203">
        <v>0</v>
      </c>
      <c r="R106" s="204">
        <f t="shared" si="32"/>
        <v>-111.23256646486777</v>
      </c>
    </row>
    <row r="107" spans="1:18" x14ac:dyDescent="0.2">
      <c r="A107" s="125">
        <v>4</v>
      </c>
      <c r="B107" s="196">
        <f t="shared" si="4"/>
        <v>44652</v>
      </c>
      <c r="C107" s="216">
        <f t="shared" si="36"/>
        <v>44685</v>
      </c>
      <c r="D107" s="216">
        <f t="shared" si="36"/>
        <v>44705</v>
      </c>
      <c r="E107" s="54" t="s">
        <v>19</v>
      </c>
      <c r="F107" s="161">
        <v>9</v>
      </c>
      <c r="G107" s="198">
        <v>52</v>
      </c>
      <c r="H107" s="199">
        <f t="shared" si="27"/>
        <v>7.2418230508197396</v>
      </c>
      <c r="I107" s="199">
        <f t="shared" si="22"/>
        <v>4.7305566459474955</v>
      </c>
      <c r="J107" s="200">
        <f t="shared" si="2"/>
        <v>245.98894558926978</v>
      </c>
      <c r="K107" s="201">
        <f t="shared" si="34"/>
        <v>376.57479864262643</v>
      </c>
      <c r="L107" s="202">
        <f t="shared" ref="L107:L115" si="37">+J107-K107</f>
        <v>-130.58585305335666</v>
      </c>
      <c r="M107" s="203">
        <f t="shared" si="28"/>
        <v>-7.1306578079081957</v>
      </c>
      <c r="N107" s="204">
        <f t="shared" si="29"/>
        <v>-137.71651086126485</v>
      </c>
      <c r="O107" s="203">
        <f t="shared" si="30"/>
        <v>0</v>
      </c>
      <c r="P107" s="203">
        <f t="shared" si="31"/>
        <v>0</v>
      </c>
      <c r="Q107" s="203">
        <v>0</v>
      </c>
      <c r="R107" s="204">
        <f t="shared" si="32"/>
        <v>-137.71651086126485</v>
      </c>
    </row>
    <row r="108" spans="1:18" x14ac:dyDescent="0.2">
      <c r="A108" s="161">
        <v>5</v>
      </c>
      <c r="B108" s="196">
        <f t="shared" si="4"/>
        <v>44682</v>
      </c>
      <c r="C108" s="216">
        <f t="shared" si="36"/>
        <v>44715</v>
      </c>
      <c r="D108" s="216">
        <f t="shared" si="36"/>
        <v>44735</v>
      </c>
      <c r="E108" s="54" t="s">
        <v>19</v>
      </c>
      <c r="F108" s="161">
        <v>9</v>
      </c>
      <c r="G108" s="198">
        <v>52</v>
      </c>
      <c r="H108" s="199">
        <f t="shared" si="27"/>
        <v>7.2418230508197396</v>
      </c>
      <c r="I108" s="199">
        <f t="shared" ref="I108:I127" si="38">$J$3</f>
        <v>4.7305566459474955</v>
      </c>
      <c r="J108" s="200">
        <f t="shared" si="2"/>
        <v>245.98894558926978</v>
      </c>
      <c r="K108" s="201">
        <f t="shared" si="34"/>
        <v>376.57479864262643</v>
      </c>
      <c r="L108" s="202">
        <f t="shared" si="37"/>
        <v>-130.58585305335666</v>
      </c>
      <c r="M108" s="203">
        <f t="shared" si="28"/>
        <v>-7.1306578079081957</v>
      </c>
      <c r="N108" s="204">
        <f t="shared" si="29"/>
        <v>-137.71651086126485</v>
      </c>
      <c r="O108" s="203">
        <f t="shared" si="30"/>
        <v>0</v>
      </c>
      <c r="P108" s="203">
        <f t="shared" si="31"/>
        <v>0</v>
      </c>
      <c r="Q108" s="203">
        <v>0</v>
      </c>
      <c r="R108" s="204">
        <f t="shared" si="32"/>
        <v>-137.71651086126485</v>
      </c>
    </row>
    <row r="109" spans="1:18" x14ac:dyDescent="0.2">
      <c r="A109" s="161">
        <v>6</v>
      </c>
      <c r="B109" s="196">
        <f t="shared" ref="B109:B148" si="39">DATE($R$1,A109,1)</f>
        <v>44713</v>
      </c>
      <c r="C109" s="216">
        <f t="shared" si="36"/>
        <v>44747</v>
      </c>
      <c r="D109" s="216">
        <f t="shared" si="36"/>
        <v>44767</v>
      </c>
      <c r="E109" s="54" t="s">
        <v>19</v>
      </c>
      <c r="F109" s="161">
        <v>9</v>
      </c>
      <c r="G109" s="198">
        <v>56</v>
      </c>
      <c r="H109" s="199">
        <f t="shared" si="27"/>
        <v>7.2418230508197396</v>
      </c>
      <c r="I109" s="199">
        <f t="shared" si="38"/>
        <v>4.7305566459474955</v>
      </c>
      <c r="J109" s="200">
        <f t="shared" ref="J109:J148" si="40">+$G109*I109</f>
        <v>264.91117217305975</v>
      </c>
      <c r="K109" s="201">
        <f t="shared" si="34"/>
        <v>405.54209084590542</v>
      </c>
      <c r="L109" s="206">
        <f t="shared" si="37"/>
        <v>-140.63091867284567</v>
      </c>
      <c r="M109" s="203">
        <f t="shared" si="28"/>
        <v>-7.6791699469780568</v>
      </c>
      <c r="N109" s="204">
        <f t="shared" si="29"/>
        <v>-148.31008861982372</v>
      </c>
      <c r="O109" s="203">
        <f t="shared" si="30"/>
        <v>0</v>
      </c>
      <c r="P109" s="203">
        <f t="shared" si="31"/>
        <v>0</v>
      </c>
      <c r="Q109" s="203">
        <v>0</v>
      </c>
      <c r="R109" s="204">
        <f t="shared" si="32"/>
        <v>-148.31008861982372</v>
      </c>
    </row>
    <row r="110" spans="1:18" x14ac:dyDescent="0.2">
      <c r="A110" s="125">
        <v>7</v>
      </c>
      <c r="B110" s="196">
        <f t="shared" si="39"/>
        <v>44743</v>
      </c>
      <c r="C110" s="216">
        <f t="shared" si="36"/>
        <v>44776</v>
      </c>
      <c r="D110" s="216">
        <f t="shared" si="36"/>
        <v>44796</v>
      </c>
      <c r="E110" s="54" t="s">
        <v>19</v>
      </c>
      <c r="F110" s="161">
        <v>9</v>
      </c>
      <c r="G110" s="198">
        <v>58</v>
      </c>
      <c r="H110" s="199">
        <f t="shared" si="27"/>
        <v>7.2418230508197396</v>
      </c>
      <c r="I110" s="199">
        <f t="shared" si="38"/>
        <v>4.7305566459474955</v>
      </c>
      <c r="J110" s="200">
        <f t="shared" si="40"/>
        <v>274.37228546495476</v>
      </c>
      <c r="K110" s="207">
        <f t="shared" si="34"/>
        <v>420.02573694754489</v>
      </c>
      <c r="L110" s="206">
        <f t="shared" si="37"/>
        <v>-145.65345148259013</v>
      </c>
      <c r="M110" s="203">
        <f t="shared" si="28"/>
        <v>-7.9534260165129886</v>
      </c>
      <c r="N110" s="204">
        <f t="shared" si="29"/>
        <v>-153.60687749910312</v>
      </c>
      <c r="O110" s="203">
        <f t="shared" si="30"/>
        <v>0</v>
      </c>
      <c r="P110" s="203">
        <f t="shared" si="31"/>
        <v>0</v>
      </c>
      <c r="Q110" s="203">
        <v>0</v>
      </c>
      <c r="R110" s="204">
        <f t="shared" si="32"/>
        <v>-153.60687749910312</v>
      </c>
    </row>
    <row r="111" spans="1:18" x14ac:dyDescent="0.2">
      <c r="A111" s="161">
        <v>8</v>
      </c>
      <c r="B111" s="196">
        <f t="shared" si="39"/>
        <v>44774</v>
      </c>
      <c r="C111" s="216">
        <f t="shared" si="36"/>
        <v>44809</v>
      </c>
      <c r="D111" s="216">
        <f t="shared" si="36"/>
        <v>44827</v>
      </c>
      <c r="E111" s="54" t="s">
        <v>19</v>
      </c>
      <c r="F111" s="161">
        <v>9</v>
      </c>
      <c r="G111" s="198">
        <v>60</v>
      </c>
      <c r="H111" s="199">
        <f t="shared" si="27"/>
        <v>7.2418230508197396</v>
      </c>
      <c r="I111" s="199">
        <f t="shared" si="38"/>
        <v>4.7305566459474955</v>
      </c>
      <c r="J111" s="200">
        <f t="shared" si="40"/>
        <v>283.8333987568497</v>
      </c>
      <c r="K111" s="207">
        <f t="shared" si="34"/>
        <v>434.50938304918441</v>
      </c>
      <c r="L111" s="206">
        <f t="shared" si="37"/>
        <v>-150.6759842923347</v>
      </c>
      <c r="M111" s="203">
        <f t="shared" si="28"/>
        <v>-8.2276820860479187</v>
      </c>
      <c r="N111" s="204">
        <f t="shared" si="29"/>
        <v>-158.90366637838261</v>
      </c>
      <c r="O111" s="203">
        <f t="shared" si="30"/>
        <v>0</v>
      </c>
      <c r="P111" s="203">
        <f t="shared" si="31"/>
        <v>0</v>
      </c>
      <c r="Q111" s="203">
        <v>0</v>
      </c>
      <c r="R111" s="204">
        <f t="shared" si="32"/>
        <v>-158.90366637838261</v>
      </c>
    </row>
    <row r="112" spans="1:18" x14ac:dyDescent="0.2">
      <c r="A112" s="161">
        <v>9</v>
      </c>
      <c r="B112" s="196">
        <f t="shared" si="39"/>
        <v>44805</v>
      </c>
      <c r="C112" s="216">
        <f t="shared" si="36"/>
        <v>44839</v>
      </c>
      <c r="D112" s="216">
        <f t="shared" si="36"/>
        <v>44859</v>
      </c>
      <c r="E112" s="54" t="s">
        <v>19</v>
      </c>
      <c r="F112" s="161">
        <v>9</v>
      </c>
      <c r="G112" s="198">
        <v>58</v>
      </c>
      <c r="H112" s="199">
        <f t="shared" si="27"/>
        <v>7.2418230508197396</v>
      </c>
      <c r="I112" s="199">
        <f t="shared" si="38"/>
        <v>4.7305566459474955</v>
      </c>
      <c r="J112" s="200">
        <f t="shared" si="40"/>
        <v>274.37228546495476</v>
      </c>
      <c r="K112" s="207">
        <f t="shared" si="34"/>
        <v>420.02573694754489</v>
      </c>
      <c r="L112" s="206">
        <f t="shared" si="37"/>
        <v>-145.65345148259013</v>
      </c>
      <c r="M112" s="203">
        <f t="shared" si="28"/>
        <v>-7.9534260165129886</v>
      </c>
      <c r="N112" s="204">
        <f t="shared" si="29"/>
        <v>-153.60687749910312</v>
      </c>
      <c r="O112" s="203">
        <f t="shared" si="30"/>
        <v>0</v>
      </c>
      <c r="P112" s="203">
        <f t="shared" si="31"/>
        <v>0</v>
      </c>
      <c r="Q112" s="203">
        <v>0</v>
      </c>
      <c r="R112" s="204">
        <f t="shared" si="32"/>
        <v>-153.60687749910312</v>
      </c>
    </row>
    <row r="113" spans="1:18" x14ac:dyDescent="0.2">
      <c r="A113" s="125">
        <v>10</v>
      </c>
      <c r="B113" s="196">
        <f t="shared" si="39"/>
        <v>44835</v>
      </c>
      <c r="C113" s="216">
        <f t="shared" si="36"/>
        <v>44868</v>
      </c>
      <c r="D113" s="216">
        <f t="shared" si="36"/>
        <v>44888</v>
      </c>
      <c r="E113" s="54" t="s">
        <v>19</v>
      </c>
      <c r="F113" s="161">
        <v>9</v>
      </c>
      <c r="G113" s="198">
        <v>56</v>
      </c>
      <c r="H113" s="199">
        <f t="shared" si="27"/>
        <v>7.2418230508197396</v>
      </c>
      <c r="I113" s="199">
        <f t="shared" si="38"/>
        <v>4.7305566459474955</v>
      </c>
      <c r="J113" s="200">
        <f t="shared" si="40"/>
        <v>264.91117217305975</v>
      </c>
      <c r="K113" s="207">
        <f t="shared" si="34"/>
        <v>405.54209084590542</v>
      </c>
      <c r="L113" s="206">
        <f t="shared" si="37"/>
        <v>-140.63091867284567</v>
      </c>
      <c r="M113" s="203">
        <f t="shared" si="28"/>
        <v>-7.6791699469780568</v>
      </c>
      <c r="N113" s="204">
        <f t="shared" si="29"/>
        <v>-148.31008861982372</v>
      </c>
      <c r="O113" s="203">
        <f t="shared" si="30"/>
        <v>0</v>
      </c>
      <c r="P113" s="203">
        <f t="shared" si="31"/>
        <v>0</v>
      </c>
      <c r="Q113" s="203">
        <v>0</v>
      </c>
      <c r="R113" s="204">
        <f t="shared" si="32"/>
        <v>-148.31008861982372</v>
      </c>
    </row>
    <row r="114" spans="1:18" x14ac:dyDescent="0.2">
      <c r="A114" s="161">
        <v>11</v>
      </c>
      <c r="B114" s="196">
        <f t="shared" si="39"/>
        <v>44866</v>
      </c>
      <c r="C114" s="216">
        <f t="shared" si="36"/>
        <v>44900</v>
      </c>
      <c r="D114" s="216">
        <f t="shared" si="36"/>
        <v>44918</v>
      </c>
      <c r="E114" s="54" t="s">
        <v>19</v>
      </c>
      <c r="F114" s="161">
        <v>9</v>
      </c>
      <c r="G114" s="198">
        <v>59</v>
      </c>
      <c r="H114" s="199">
        <f t="shared" si="27"/>
        <v>7.2418230508197396</v>
      </c>
      <c r="I114" s="199">
        <f t="shared" si="38"/>
        <v>4.7305566459474955</v>
      </c>
      <c r="J114" s="200">
        <f t="shared" si="40"/>
        <v>279.10284211090226</v>
      </c>
      <c r="K114" s="207">
        <f t="shared" si="34"/>
        <v>427.26755999836462</v>
      </c>
      <c r="L114" s="206">
        <f t="shared" si="37"/>
        <v>-148.16471788746236</v>
      </c>
      <c r="M114" s="203">
        <f t="shared" si="28"/>
        <v>-8.0905540512804546</v>
      </c>
      <c r="N114" s="204">
        <f t="shared" si="29"/>
        <v>-156.25527193874282</v>
      </c>
      <c r="O114" s="203">
        <f t="shared" si="30"/>
        <v>0</v>
      </c>
      <c r="P114" s="203">
        <f t="shared" si="31"/>
        <v>0</v>
      </c>
      <c r="Q114" s="203">
        <v>0</v>
      </c>
      <c r="R114" s="204">
        <f t="shared" si="32"/>
        <v>-156.25527193874282</v>
      </c>
    </row>
    <row r="115" spans="1:18" s="220" customFormat="1" x14ac:dyDescent="0.2">
      <c r="A115" s="161">
        <v>12</v>
      </c>
      <c r="B115" s="218">
        <f t="shared" si="39"/>
        <v>44896</v>
      </c>
      <c r="C115" s="221">
        <f t="shared" si="36"/>
        <v>44930</v>
      </c>
      <c r="D115" s="221">
        <f t="shared" si="36"/>
        <v>44950</v>
      </c>
      <c r="E115" s="219" t="s">
        <v>19</v>
      </c>
      <c r="F115" s="172">
        <v>9</v>
      </c>
      <c r="G115" s="198">
        <v>58</v>
      </c>
      <c r="H115" s="208">
        <f t="shared" si="27"/>
        <v>7.2418230508197396</v>
      </c>
      <c r="I115" s="208">
        <f t="shared" si="38"/>
        <v>4.7305566459474955</v>
      </c>
      <c r="J115" s="209">
        <f t="shared" si="40"/>
        <v>274.37228546495476</v>
      </c>
      <c r="K115" s="210">
        <f t="shared" si="34"/>
        <v>420.02573694754489</v>
      </c>
      <c r="L115" s="211">
        <f t="shared" si="37"/>
        <v>-145.65345148259013</v>
      </c>
      <c r="M115" s="203">
        <f t="shared" si="28"/>
        <v>-7.9534260165129886</v>
      </c>
      <c r="N115" s="204">
        <f t="shared" si="29"/>
        <v>-153.60687749910312</v>
      </c>
      <c r="O115" s="203">
        <f t="shared" si="30"/>
        <v>0</v>
      </c>
      <c r="P115" s="203">
        <f t="shared" si="31"/>
        <v>0</v>
      </c>
      <c r="Q115" s="203">
        <v>0</v>
      </c>
      <c r="R115" s="204">
        <f t="shared" si="32"/>
        <v>-153.60687749910312</v>
      </c>
    </row>
    <row r="116" spans="1:18" x14ac:dyDescent="0.2">
      <c r="A116" s="125">
        <v>1</v>
      </c>
      <c r="B116" s="196">
        <f t="shared" si="39"/>
        <v>44562</v>
      </c>
      <c r="C116" s="216">
        <f t="shared" si="36"/>
        <v>44595</v>
      </c>
      <c r="D116" s="216">
        <f t="shared" si="36"/>
        <v>44615</v>
      </c>
      <c r="E116" s="197" t="s">
        <v>13</v>
      </c>
      <c r="F116" s="125">
        <v>9</v>
      </c>
      <c r="G116" s="198">
        <v>1045</v>
      </c>
      <c r="H116" s="199">
        <f t="shared" si="27"/>
        <v>7.2418230508197396</v>
      </c>
      <c r="I116" s="199">
        <f t="shared" si="38"/>
        <v>4.7305566459474955</v>
      </c>
      <c r="J116" s="200">
        <f t="shared" si="40"/>
        <v>4943.4316950151324</v>
      </c>
      <c r="K116" s="201">
        <f t="shared" si="34"/>
        <v>7567.705088106628</v>
      </c>
      <c r="L116" s="202">
        <f>+J116-K116</f>
        <v>-2624.2733930914956</v>
      </c>
      <c r="M116" s="203">
        <f t="shared" si="28"/>
        <v>-143.29879633200127</v>
      </c>
      <c r="N116" s="204">
        <f t="shared" si="29"/>
        <v>-2767.5721894234966</v>
      </c>
      <c r="O116" s="203">
        <f t="shared" si="30"/>
        <v>0</v>
      </c>
      <c r="P116" s="203">
        <f t="shared" si="31"/>
        <v>0</v>
      </c>
      <c r="Q116" s="203">
        <v>0</v>
      </c>
      <c r="R116" s="204">
        <f t="shared" si="32"/>
        <v>-2767.5721894234966</v>
      </c>
    </row>
    <row r="117" spans="1:18" x14ac:dyDescent="0.2">
      <c r="A117" s="161">
        <v>2</v>
      </c>
      <c r="B117" s="196">
        <f t="shared" si="39"/>
        <v>44593</v>
      </c>
      <c r="C117" s="216">
        <f t="shared" ref="C117:D139" si="41">+C105</f>
        <v>44623</v>
      </c>
      <c r="D117" s="216">
        <f t="shared" si="41"/>
        <v>44642</v>
      </c>
      <c r="E117" s="205" t="s">
        <v>13</v>
      </c>
      <c r="F117" s="161">
        <v>9</v>
      </c>
      <c r="G117" s="198">
        <v>1114</v>
      </c>
      <c r="H117" s="199">
        <f t="shared" si="27"/>
        <v>7.2418230508197396</v>
      </c>
      <c r="I117" s="199">
        <f t="shared" si="38"/>
        <v>4.7305566459474955</v>
      </c>
      <c r="J117" s="200">
        <f t="shared" si="40"/>
        <v>5269.8401035855104</v>
      </c>
      <c r="K117" s="201">
        <f t="shared" si="34"/>
        <v>8067.3908786131897</v>
      </c>
      <c r="L117" s="202">
        <f>+J117-K117</f>
        <v>-2797.5507750276793</v>
      </c>
      <c r="M117" s="203">
        <f t="shared" si="28"/>
        <v>-152.76063073095636</v>
      </c>
      <c r="N117" s="204">
        <f t="shared" si="29"/>
        <v>-2950.3114057586358</v>
      </c>
      <c r="O117" s="203">
        <f t="shared" si="30"/>
        <v>0</v>
      </c>
      <c r="P117" s="203">
        <f t="shared" si="31"/>
        <v>0</v>
      </c>
      <c r="Q117" s="203">
        <v>0</v>
      </c>
      <c r="R117" s="204">
        <f t="shared" si="32"/>
        <v>-2950.3114057586358</v>
      </c>
    </row>
    <row r="118" spans="1:18" x14ac:dyDescent="0.2">
      <c r="A118" s="161">
        <v>3</v>
      </c>
      <c r="B118" s="196">
        <f t="shared" si="39"/>
        <v>44621</v>
      </c>
      <c r="C118" s="216">
        <f t="shared" si="41"/>
        <v>44656</v>
      </c>
      <c r="D118" s="216">
        <f t="shared" si="41"/>
        <v>44676</v>
      </c>
      <c r="E118" s="205" t="s">
        <v>13</v>
      </c>
      <c r="F118" s="161">
        <v>9</v>
      </c>
      <c r="G118" s="198">
        <v>977</v>
      </c>
      <c r="H118" s="199">
        <f t="shared" si="27"/>
        <v>7.2418230508197396</v>
      </c>
      <c r="I118" s="199">
        <f t="shared" si="38"/>
        <v>4.7305566459474955</v>
      </c>
      <c r="J118" s="200">
        <f t="shared" si="40"/>
        <v>4621.7538430907034</v>
      </c>
      <c r="K118" s="201">
        <f t="shared" si="34"/>
        <v>7075.2611206508855</v>
      </c>
      <c r="L118" s="202">
        <f>+J118-K118</f>
        <v>-2453.507277560182</v>
      </c>
      <c r="M118" s="203">
        <f t="shared" si="28"/>
        <v>-133.9740899678136</v>
      </c>
      <c r="N118" s="204">
        <f t="shared" si="29"/>
        <v>-2587.4813675279956</v>
      </c>
      <c r="O118" s="203">
        <f t="shared" si="30"/>
        <v>0</v>
      </c>
      <c r="P118" s="203">
        <f t="shared" si="31"/>
        <v>0</v>
      </c>
      <c r="Q118" s="203">
        <v>0</v>
      </c>
      <c r="R118" s="204">
        <f t="shared" si="32"/>
        <v>-2587.4813675279956</v>
      </c>
    </row>
    <row r="119" spans="1:18" x14ac:dyDescent="0.2">
      <c r="A119" s="125">
        <v>4</v>
      </c>
      <c r="B119" s="196">
        <f t="shared" si="39"/>
        <v>44652</v>
      </c>
      <c r="C119" s="216">
        <f t="shared" si="41"/>
        <v>44685</v>
      </c>
      <c r="D119" s="216">
        <f t="shared" si="41"/>
        <v>44705</v>
      </c>
      <c r="E119" s="54" t="s">
        <v>13</v>
      </c>
      <c r="F119" s="161">
        <v>9</v>
      </c>
      <c r="G119" s="198">
        <v>539</v>
      </c>
      <c r="H119" s="199">
        <f t="shared" si="27"/>
        <v>7.2418230508197396</v>
      </c>
      <c r="I119" s="199">
        <f t="shared" si="38"/>
        <v>4.7305566459474955</v>
      </c>
      <c r="J119" s="200">
        <f t="shared" si="40"/>
        <v>2549.7700321657003</v>
      </c>
      <c r="K119" s="201">
        <f t="shared" si="34"/>
        <v>3903.3426243918398</v>
      </c>
      <c r="L119" s="202">
        <f t="shared" ref="L119:L127" si="42">+J119-K119</f>
        <v>-1353.5725922261395</v>
      </c>
      <c r="M119" s="203">
        <f t="shared" si="28"/>
        <v>-73.912010739663799</v>
      </c>
      <c r="N119" s="204">
        <f t="shared" si="29"/>
        <v>-1427.4846029658033</v>
      </c>
      <c r="O119" s="203">
        <f t="shared" si="30"/>
        <v>0</v>
      </c>
      <c r="P119" s="203">
        <f t="shared" si="31"/>
        <v>0</v>
      </c>
      <c r="Q119" s="203">
        <v>0</v>
      </c>
      <c r="R119" s="204">
        <f t="shared" si="32"/>
        <v>-1427.4846029658033</v>
      </c>
    </row>
    <row r="120" spans="1:18" x14ac:dyDescent="0.2">
      <c r="A120" s="161">
        <v>5</v>
      </c>
      <c r="B120" s="196">
        <f t="shared" si="39"/>
        <v>44682</v>
      </c>
      <c r="C120" s="216">
        <f t="shared" si="41"/>
        <v>44715</v>
      </c>
      <c r="D120" s="216">
        <f t="shared" si="41"/>
        <v>44735</v>
      </c>
      <c r="E120" s="54" t="s">
        <v>13</v>
      </c>
      <c r="F120" s="161">
        <v>9</v>
      </c>
      <c r="G120" s="198">
        <v>754</v>
      </c>
      <c r="H120" s="199">
        <f t="shared" si="27"/>
        <v>7.2418230508197396</v>
      </c>
      <c r="I120" s="199">
        <f t="shared" si="38"/>
        <v>4.7305566459474955</v>
      </c>
      <c r="J120" s="200">
        <f t="shared" si="40"/>
        <v>3566.8397110444116</v>
      </c>
      <c r="K120" s="201">
        <f t="shared" si="34"/>
        <v>5460.3345803180837</v>
      </c>
      <c r="L120" s="202">
        <f t="shared" si="42"/>
        <v>-1893.4948692736721</v>
      </c>
      <c r="M120" s="203">
        <f t="shared" si="28"/>
        <v>-103.39453821466884</v>
      </c>
      <c r="N120" s="204">
        <f t="shared" si="29"/>
        <v>-1996.889407488341</v>
      </c>
      <c r="O120" s="203">
        <f t="shared" si="30"/>
        <v>0</v>
      </c>
      <c r="P120" s="203">
        <f t="shared" si="31"/>
        <v>0</v>
      </c>
      <c r="Q120" s="203">
        <v>0</v>
      </c>
      <c r="R120" s="204">
        <f t="shared" si="32"/>
        <v>-1996.889407488341</v>
      </c>
    </row>
    <row r="121" spans="1:18" x14ac:dyDescent="0.2">
      <c r="A121" s="161">
        <v>6</v>
      </c>
      <c r="B121" s="196">
        <f t="shared" si="39"/>
        <v>44713</v>
      </c>
      <c r="C121" s="216">
        <f t="shared" si="41"/>
        <v>44747</v>
      </c>
      <c r="D121" s="216">
        <f t="shared" si="41"/>
        <v>44767</v>
      </c>
      <c r="E121" s="54" t="s">
        <v>13</v>
      </c>
      <c r="F121" s="161">
        <v>9</v>
      </c>
      <c r="G121" s="198">
        <v>946</v>
      </c>
      <c r="H121" s="199">
        <f t="shared" si="27"/>
        <v>7.2418230508197396</v>
      </c>
      <c r="I121" s="199">
        <f t="shared" si="38"/>
        <v>4.7305566459474955</v>
      </c>
      <c r="J121" s="200">
        <f t="shared" si="40"/>
        <v>4475.1065870663306</v>
      </c>
      <c r="K121" s="201">
        <f t="shared" si="34"/>
        <v>6850.7646060754741</v>
      </c>
      <c r="L121" s="206">
        <f t="shared" si="42"/>
        <v>-2375.6580190091436</v>
      </c>
      <c r="M121" s="203">
        <f t="shared" si="28"/>
        <v>-129.72312089002219</v>
      </c>
      <c r="N121" s="204">
        <f t="shared" si="29"/>
        <v>-2505.3811398991656</v>
      </c>
      <c r="O121" s="203">
        <f t="shared" si="30"/>
        <v>0</v>
      </c>
      <c r="P121" s="203">
        <f t="shared" si="31"/>
        <v>0</v>
      </c>
      <c r="Q121" s="203">
        <v>0</v>
      </c>
      <c r="R121" s="204">
        <f t="shared" si="32"/>
        <v>-2505.3811398991656</v>
      </c>
    </row>
    <row r="122" spans="1:18" x14ac:dyDescent="0.2">
      <c r="A122" s="125">
        <v>7</v>
      </c>
      <c r="B122" s="196">
        <f t="shared" si="39"/>
        <v>44743</v>
      </c>
      <c r="C122" s="216">
        <f t="shared" si="41"/>
        <v>44776</v>
      </c>
      <c r="D122" s="216">
        <f t="shared" si="41"/>
        <v>44796</v>
      </c>
      <c r="E122" s="54" t="s">
        <v>13</v>
      </c>
      <c r="F122" s="161">
        <v>9</v>
      </c>
      <c r="G122" s="198">
        <v>979</v>
      </c>
      <c r="H122" s="199">
        <f t="shared" si="27"/>
        <v>7.2418230508197396</v>
      </c>
      <c r="I122" s="199">
        <f t="shared" si="38"/>
        <v>4.7305566459474955</v>
      </c>
      <c r="J122" s="200">
        <f t="shared" si="40"/>
        <v>4631.2149563825978</v>
      </c>
      <c r="K122" s="207">
        <f t="shared" si="34"/>
        <v>7089.7447667525248</v>
      </c>
      <c r="L122" s="206">
        <f t="shared" si="42"/>
        <v>-2458.529810369927</v>
      </c>
      <c r="M122" s="203">
        <f t="shared" si="28"/>
        <v>-134.24834603734854</v>
      </c>
      <c r="N122" s="204">
        <f t="shared" si="29"/>
        <v>-2592.7781564072757</v>
      </c>
      <c r="O122" s="203">
        <f t="shared" si="30"/>
        <v>0</v>
      </c>
      <c r="P122" s="203">
        <f t="shared" si="31"/>
        <v>0</v>
      </c>
      <c r="Q122" s="203">
        <v>0</v>
      </c>
      <c r="R122" s="204">
        <f t="shared" si="32"/>
        <v>-2592.7781564072757</v>
      </c>
    </row>
    <row r="123" spans="1:18" x14ac:dyDescent="0.2">
      <c r="A123" s="161">
        <v>8</v>
      </c>
      <c r="B123" s="196">
        <f t="shared" si="39"/>
        <v>44774</v>
      </c>
      <c r="C123" s="216">
        <f t="shared" si="41"/>
        <v>44809</v>
      </c>
      <c r="D123" s="216">
        <f t="shared" si="41"/>
        <v>44827</v>
      </c>
      <c r="E123" s="54" t="s">
        <v>13</v>
      </c>
      <c r="F123" s="161">
        <v>9</v>
      </c>
      <c r="G123" s="198">
        <v>973</v>
      </c>
      <c r="H123" s="199">
        <f t="shared" si="27"/>
        <v>7.2418230508197396</v>
      </c>
      <c r="I123" s="199">
        <f t="shared" si="38"/>
        <v>4.7305566459474955</v>
      </c>
      <c r="J123" s="200">
        <f t="shared" si="40"/>
        <v>4602.8316165069127</v>
      </c>
      <c r="K123" s="207">
        <f t="shared" si="34"/>
        <v>7046.2938284476068</v>
      </c>
      <c r="L123" s="206">
        <f t="shared" si="42"/>
        <v>-2443.462211940694</v>
      </c>
      <c r="M123" s="203">
        <f t="shared" si="28"/>
        <v>-133.42557782874374</v>
      </c>
      <c r="N123" s="204">
        <f t="shared" si="29"/>
        <v>-2576.8877897694379</v>
      </c>
      <c r="O123" s="203">
        <f t="shared" si="30"/>
        <v>0</v>
      </c>
      <c r="P123" s="203">
        <f t="shared" si="31"/>
        <v>0</v>
      </c>
      <c r="Q123" s="203">
        <v>0</v>
      </c>
      <c r="R123" s="204">
        <f t="shared" si="32"/>
        <v>-2576.8877897694379</v>
      </c>
    </row>
    <row r="124" spans="1:18" x14ac:dyDescent="0.2">
      <c r="A124" s="161">
        <v>9</v>
      </c>
      <c r="B124" s="196">
        <f t="shared" si="39"/>
        <v>44805</v>
      </c>
      <c r="C124" s="216">
        <f t="shared" si="41"/>
        <v>44839</v>
      </c>
      <c r="D124" s="216">
        <f t="shared" si="41"/>
        <v>44859</v>
      </c>
      <c r="E124" s="54" t="s">
        <v>13</v>
      </c>
      <c r="F124" s="161">
        <v>9</v>
      </c>
      <c r="G124" s="198">
        <v>847</v>
      </c>
      <c r="H124" s="199">
        <f t="shared" si="27"/>
        <v>7.2418230508197396</v>
      </c>
      <c r="I124" s="199">
        <f t="shared" si="38"/>
        <v>4.7305566459474955</v>
      </c>
      <c r="J124" s="200">
        <f t="shared" si="40"/>
        <v>4006.7814791175288</v>
      </c>
      <c r="K124" s="207">
        <f t="shared" si="34"/>
        <v>6133.8241240443194</v>
      </c>
      <c r="L124" s="206">
        <f t="shared" si="42"/>
        <v>-2127.0426449267907</v>
      </c>
      <c r="M124" s="203">
        <f t="shared" si="28"/>
        <v>-116.14744544804311</v>
      </c>
      <c r="N124" s="204">
        <f t="shared" si="29"/>
        <v>-2243.1900903748337</v>
      </c>
      <c r="O124" s="203">
        <f t="shared" si="30"/>
        <v>0</v>
      </c>
      <c r="P124" s="203">
        <f t="shared" si="31"/>
        <v>0</v>
      </c>
      <c r="Q124" s="203">
        <v>0</v>
      </c>
      <c r="R124" s="204">
        <f t="shared" si="32"/>
        <v>-2243.1900903748337</v>
      </c>
    </row>
    <row r="125" spans="1:18" x14ac:dyDescent="0.2">
      <c r="A125" s="125">
        <v>10</v>
      </c>
      <c r="B125" s="196">
        <f t="shared" si="39"/>
        <v>44835</v>
      </c>
      <c r="C125" s="216">
        <f t="shared" si="41"/>
        <v>44868</v>
      </c>
      <c r="D125" s="216">
        <f t="shared" si="41"/>
        <v>44888</v>
      </c>
      <c r="E125" s="54" t="s">
        <v>13</v>
      </c>
      <c r="F125" s="161">
        <v>9</v>
      </c>
      <c r="G125" s="198">
        <v>609</v>
      </c>
      <c r="H125" s="199">
        <f t="shared" si="27"/>
        <v>7.2418230508197396</v>
      </c>
      <c r="I125" s="199">
        <f t="shared" si="38"/>
        <v>4.7305566459474955</v>
      </c>
      <c r="J125" s="200">
        <f t="shared" si="40"/>
        <v>2880.9089973820246</v>
      </c>
      <c r="K125" s="207">
        <f t="shared" si="34"/>
        <v>4410.2702379492212</v>
      </c>
      <c r="L125" s="206">
        <f t="shared" si="42"/>
        <v>-1529.3612405671965</v>
      </c>
      <c r="M125" s="203">
        <f t="shared" si="28"/>
        <v>-83.510973173386375</v>
      </c>
      <c r="N125" s="204">
        <f t="shared" si="29"/>
        <v>-1612.872213740583</v>
      </c>
      <c r="O125" s="203">
        <f t="shared" si="30"/>
        <v>0</v>
      </c>
      <c r="P125" s="203">
        <f t="shared" si="31"/>
        <v>0</v>
      </c>
      <c r="Q125" s="203">
        <v>0</v>
      </c>
      <c r="R125" s="204">
        <f t="shared" si="32"/>
        <v>-1612.872213740583</v>
      </c>
    </row>
    <row r="126" spans="1:18" x14ac:dyDescent="0.2">
      <c r="A126" s="161">
        <v>11</v>
      </c>
      <c r="B126" s="196">
        <f t="shared" si="39"/>
        <v>44866</v>
      </c>
      <c r="C126" s="216">
        <f t="shared" si="41"/>
        <v>44900</v>
      </c>
      <c r="D126" s="216">
        <f t="shared" si="41"/>
        <v>44918</v>
      </c>
      <c r="E126" s="54" t="s">
        <v>13</v>
      </c>
      <c r="F126" s="161">
        <v>9</v>
      </c>
      <c r="G126" s="198">
        <v>807</v>
      </c>
      <c r="H126" s="199">
        <f t="shared" si="27"/>
        <v>7.2418230508197396</v>
      </c>
      <c r="I126" s="199">
        <f t="shared" si="38"/>
        <v>4.7305566459474955</v>
      </c>
      <c r="J126" s="200">
        <f t="shared" si="40"/>
        <v>3817.5592132796287</v>
      </c>
      <c r="K126" s="207">
        <f t="shared" si="34"/>
        <v>5844.1512020115297</v>
      </c>
      <c r="L126" s="206">
        <f t="shared" si="42"/>
        <v>-2026.591988731901</v>
      </c>
      <c r="M126" s="203">
        <f t="shared" si="28"/>
        <v>-110.66232405734451</v>
      </c>
      <c r="N126" s="204">
        <f t="shared" si="29"/>
        <v>-2137.2543127892454</v>
      </c>
      <c r="O126" s="203">
        <f t="shared" si="30"/>
        <v>0</v>
      </c>
      <c r="P126" s="203">
        <f t="shared" si="31"/>
        <v>0</v>
      </c>
      <c r="Q126" s="203">
        <v>0</v>
      </c>
      <c r="R126" s="204">
        <f t="shared" si="32"/>
        <v>-2137.2543127892454</v>
      </c>
    </row>
    <row r="127" spans="1:18" s="220" customFormat="1" x14ac:dyDescent="0.2">
      <c r="A127" s="161">
        <v>12</v>
      </c>
      <c r="B127" s="218">
        <f t="shared" si="39"/>
        <v>44896</v>
      </c>
      <c r="C127" s="221">
        <f t="shared" si="41"/>
        <v>44930</v>
      </c>
      <c r="D127" s="221">
        <f t="shared" si="41"/>
        <v>44950</v>
      </c>
      <c r="E127" s="219" t="s">
        <v>13</v>
      </c>
      <c r="F127" s="172">
        <v>9</v>
      </c>
      <c r="G127" s="198">
        <v>1434</v>
      </c>
      <c r="H127" s="208">
        <f t="shared" si="27"/>
        <v>7.2418230508197396</v>
      </c>
      <c r="I127" s="208">
        <f t="shared" si="38"/>
        <v>4.7305566459474955</v>
      </c>
      <c r="J127" s="209">
        <f t="shared" si="40"/>
        <v>6783.6182302887082</v>
      </c>
      <c r="K127" s="210">
        <f t="shared" si="34"/>
        <v>10384.774254875507</v>
      </c>
      <c r="L127" s="211">
        <f t="shared" si="42"/>
        <v>-3601.1560245867986</v>
      </c>
      <c r="M127" s="203">
        <f t="shared" si="28"/>
        <v>-196.64160185654524</v>
      </c>
      <c r="N127" s="204">
        <f t="shared" si="29"/>
        <v>-3797.7976264433437</v>
      </c>
      <c r="O127" s="203">
        <f t="shared" si="30"/>
        <v>0</v>
      </c>
      <c r="P127" s="203">
        <f t="shared" si="31"/>
        <v>0</v>
      </c>
      <c r="Q127" s="203">
        <v>0</v>
      </c>
      <c r="R127" s="204">
        <f t="shared" si="32"/>
        <v>-3797.7976264433437</v>
      </c>
    </row>
    <row r="128" spans="1:18" x14ac:dyDescent="0.2">
      <c r="A128" s="125">
        <v>1</v>
      </c>
      <c r="B128" s="196">
        <f t="shared" si="39"/>
        <v>44562</v>
      </c>
      <c r="C128" s="216">
        <f t="shared" si="41"/>
        <v>44595</v>
      </c>
      <c r="D128" s="216">
        <f t="shared" si="41"/>
        <v>44615</v>
      </c>
      <c r="E128" s="197" t="s">
        <v>15</v>
      </c>
      <c r="F128" s="125">
        <v>9</v>
      </c>
      <c r="G128" s="198">
        <v>8</v>
      </c>
      <c r="H128" s="199">
        <f t="shared" si="27"/>
        <v>7.2418230508197396</v>
      </c>
      <c r="I128" s="199">
        <f t="shared" ref="I128:I147" si="43">$J$3</f>
        <v>4.7305566459474955</v>
      </c>
      <c r="J128" s="200">
        <f t="shared" si="40"/>
        <v>37.844453167579964</v>
      </c>
      <c r="K128" s="201">
        <f t="shared" si="34"/>
        <v>57.934584406557917</v>
      </c>
      <c r="L128" s="202">
        <f>+J128-K128</f>
        <v>-20.090131238977953</v>
      </c>
      <c r="M128" s="203">
        <f t="shared" si="28"/>
        <v>-1.0970242781397226</v>
      </c>
      <c r="N128" s="204">
        <f t="shared" si="29"/>
        <v>-21.187155517117677</v>
      </c>
      <c r="O128" s="203">
        <f t="shared" si="30"/>
        <v>0</v>
      </c>
      <c r="P128" s="203">
        <f t="shared" si="31"/>
        <v>0</v>
      </c>
      <c r="Q128" s="203">
        <v>0</v>
      </c>
      <c r="R128" s="204">
        <f t="shared" si="32"/>
        <v>-21.187155517117677</v>
      </c>
    </row>
    <row r="129" spans="1:18" x14ac:dyDescent="0.2">
      <c r="A129" s="161">
        <v>2</v>
      </c>
      <c r="B129" s="196">
        <f t="shared" si="39"/>
        <v>44593</v>
      </c>
      <c r="C129" s="216">
        <f t="shared" si="41"/>
        <v>44623</v>
      </c>
      <c r="D129" s="216">
        <f t="shared" si="41"/>
        <v>44642</v>
      </c>
      <c r="E129" s="205" t="s">
        <v>15</v>
      </c>
      <c r="F129" s="161">
        <v>9</v>
      </c>
      <c r="G129" s="198">
        <v>7</v>
      </c>
      <c r="H129" s="199">
        <f t="shared" si="27"/>
        <v>7.2418230508197396</v>
      </c>
      <c r="I129" s="199">
        <f t="shared" si="43"/>
        <v>4.7305566459474955</v>
      </c>
      <c r="J129" s="200">
        <f t="shared" si="40"/>
        <v>33.113896521632469</v>
      </c>
      <c r="K129" s="201">
        <f t="shared" si="34"/>
        <v>50.692761355738178</v>
      </c>
      <c r="L129" s="202">
        <f>+J129-K129</f>
        <v>-17.578864834105708</v>
      </c>
      <c r="M129" s="203">
        <f t="shared" si="28"/>
        <v>-0.9598962433722571</v>
      </c>
      <c r="N129" s="204">
        <f t="shared" si="29"/>
        <v>-18.538761077477965</v>
      </c>
      <c r="O129" s="203">
        <f t="shared" si="30"/>
        <v>0</v>
      </c>
      <c r="P129" s="203">
        <f t="shared" si="31"/>
        <v>0</v>
      </c>
      <c r="Q129" s="203">
        <v>0</v>
      </c>
      <c r="R129" s="204">
        <f t="shared" si="32"/>
        <v>-18.538761077477965</v>
      </c>
    </row>
    <row r="130" spans="1:18" x14ac:dyDescent="0.2">
      <c r="A130" s="161">
        <v>3</v>
      </c>
      <c r="B130" s="196">
        <f t="shared" si="39"/>
        <v>44621</v>
      </c>
      <c r="C130" s="216">
        <f t="shared" si="41"/>
        <v>44656</v>
      </c>
      <c r="D130" s="216">
        <f t="shared" si="41"/>
        <v>44676</v>
      </c>
      <c r="E130" s="205" t="s">
        <v>15</v>
      </c>
      <c r="F130" s="161">
        <v>9</v>
      </c>
      <c r="G130" s="198">
        <v>5</v>
      </c>
      <c r="H130" s="199">
        <f t="shared" si="27"/>
        <v>7.2418230508197396</v>
      </c>
      <c r="I130" s="199">
        <f t="shared" si="43"/>
        <v>4.7305566459474955</v>
      </c>
      <c r="J130" s="200">
        <f t="shared" si="40"/>
        <v>23.652783229737476</v>
      </c>
      <c r="K130" s="201">
        <f t="shared" si="34"/>
        <v>36.209115254098698</v>
      </c>
      <c r="L130" s="202">
        <f>+J130-K130</f>
        <v>-12.556332024361222</v>
      </c>
      <c r="M130" s="203">
        <f t="shared" si="28"/>
        <v>-0.68564017383732656</v>
      </c>
      <c r="N130" s="204">
        <f t="shared" si="29"/>
        <v>-13.241972198198548</v>
      </c>
      <c r="O130" s="203">
        <f t="shared" si="30"/>
        <v>0</v>
      </c>
      <c r="P130" s="203">
        <f t="shared" si="31"/>
        <v>0</v>
      </c>
      <c r="Q130" s="203">
        <v>0</v>
      </c>
      <c r="R130" s="204">
        <f t="shared" si="32"/>
        <v>-13.241972198198548</v>
      </c>
    </row>
    <row r="131" spans="1:18" x14ac:dyDescent="0.2">
      <c r="A131" s="125">
        <v>4</v>
      </c>
      <c r="B131" s="196">
        <f t="shared" si="39"/>
        <v>44652</v>
      </c>
      <c r="C131" s="216">
        <f t="shared" si="41"/>
        <v>44685</v>
      </c>
      <c r="D131" s="216">
        <f t="shared" si="41"/>
        <v>44705</v>
      </c>
      <c r="E131" s="205" t="s">
        <v>15</v>
      </c>
      <c r="F131" s="161">
        <v>9</v>
      </c>
      <c r="G131" s="198">
        <v>7</v>
      </c>
      <c r="H131" s="199">
        <f t="shared" si="27"/>
        <v>7.2418230508197396</v>
      </c>
      <c r="I131" s="199">
        <f t="shared" si="43"/>
        <v>4.7305566459474955</v>
      </c>
      <c r="J131" s="200">
        <f t="shared" si="40"/>
        <v>33.113896521632469</v>
      </c>
      <c r="K131" s="201">
        <f t="shared" si="34"/>
        <v>50.692761355738178</v>
      </c>
      <c r="L131" s="202">
        <f t="shared" ref="L131:L141" si="44">+J131-K131</f>
        <v>-17.578864834105708</v>
      </c>
      <c r="M131" s="203">
        <f t="shared" si="28"/>
        <v>-0.9598962433722571</v>
      </c>
      <c r="N131" s="204">
        <f t="shared" si="29"/>
        <v>-18.538761077477965</v>
      </c>
      <c r="O131" s="203">
        <f t="shared" si="30"/>
        <v>0</v>
      </c>
      <c r="P131" s="203">
        <f t="shared" si="31"/>
        <v>0</v>
      </c>
      <c r="Q131" s="203">
        <v>0</v>
      </c>
      <c r="R131" s="204">
        <f t="shared" si="32"/>
        <v>-18.538761077477965</v>
      </c>
    </row>
    <row r="132" spans="1:18" x14ac:dyDescent="0.2">
      <c r="A132" s="161">
        <v>5</v>
      </c>
      <c r="B132" s="196">
        <f t="shared" si="39"/>
        <v>44682</v>
      </c>
      <c r="C132" s="216">
        <f t="shared" si="41"/>
        <v>44715</v>
      </c>
      <c r="D132" s="216">
        <f t="shared" si="41"/>
        <v>44735</v>
      </c>
      <c r="E132" s="54" t="s">
        <v>15</v>
      </c>
      <c r="F132" s="161">
        <v>9</v>
      </c>
      <c r="G132" s="198">
        <v>10</v>
      </c>
      <c r="H132" s="199">
        <f t="shared" si="27"/>
        <v>7.2418230508197396</v>
      </c>
      <c r="I132" s="199">
        <f t="shared" si="43"/>
        <v>4.7305566459474955</v>
      </c>
      <c r="J132" s="200">
        <f t="shared" si="40"/>
        <v>47.305566459474953</v>
      </c>
      <c r="K132" s="201">
        <f t="shared" si="34"/>
        <v>72.418230508197396</v>
      </c>
      <c r="L132" s="202">
        <f t="shared" si="44"/>
        <v>-25.112664048722444</v>
      </c>
      <c r="M132" s="203">
        <f t="shared" si="28"/>
        <v>-1.3712803476746531</v>
      </c>
      <c r="N132" s="204">
        <f t="shared" si="29"/>
        <v>-26.483944396397096</v>
      </c>
      <c r="O132" s="203">
        <f t="shared" si="30"/>
        <v>0</v>
      </c>
      <c r="P132" s="203">
        <f t="shared" si="31"/>
        <v>0</v>
      </c>
      <c r="Q132" s="203">
        <v>0</v>
      </c>
      <c r="R132" s="204">
        <f t="shared" si="32"/>
        <v>-26.483944396397096</v>
      </c>
    </row>
    <row r="133" spans="1:18" x14ac:dyDescent="0.2">
      <c r="A133" s="161">
        <v>6</v>
      </c>
      <c r="B133" s="196">
        <f t="shared" si="39"/>
        <v>44713</v>
      </c>
      <c r="C133" s="216">
        <f t="shared" si="41"/>
        <v>44747</v>
      </c>
      <c r="D133" s="216">
        <f t="shared" si="41"/>
        <v>44767</v>
      </c>
      <c r="E133" s="54" t="s">
        <v>15</v>
      </c>
      <c r="F133" s="161">
        <v>9</v>
      </c>
      <c r="G133" s="198">
        <v>14</v>
      </c>
      <c r="H133" s="199">
        <f t="shared" si="27"/>
        <v>7.2418230508197396</v>
      </c>
      <c r="I133" s="199">
        <f t="shared" si="43"/>
        <v>4.7305566459474955</v>
      </c>
      <c r="J133" s="200">
        <f t="shared" si="40"/>
        <v>66.227793043264938</v>
      </c>
      <c r="K133" s="201">
        <f t="shared" si="34"/>
        <v>101.38552271147636</v>
      </c>
      <c r="L133" s="206">
        <f t="shared" si="44"/>
        <v>-35.157729668211417</v>
      </c>
      <c r="M133" s="203">
        <f t="shared" si="28"/>
        <v>-1.9197924867445142</v>
      </c>
      <c r="N133" s="204">
        <f t="shared" si="29"/>
        <v>-37.077522154955929</v>
      </c>
      <c r="O133" s="203">
        <f t="shared" si="30"/>
        <v>0</v>
      </c>
      <c r="P133" s="203">
        <f t="shared" si="31"/>
        <v>0</v>
      </c>
      <c r="Q133" s="203">
        <v>0</v>
      </c>
      <c r="R133" s="204">
        <f t="shared" si="32"/>
        <v>-37.077522154955929</v>
      </c>
    </row>
    <row r="134" spans="1:18" x14ac:dyDescent="0.2">
      <c r="A134" s="125">
        <v>7</v>
      </c>
      <c r="B134" s="196">
        <f t="shared" si="39"/>
        <v>44743</v>
      </c>
      <c r="C134" s="216">
        <f t="shared" si="41"/>
        <v>44776</v>
      </c>
      <c r="D134" s="216">
        <f t="shared" si="41"/>
        <v>44796</v>
      </c>
      <c r="E134" s="54" t="s">
        <v>15</v>
      </c>
      <c r="F134" s="161">
        <v>9</v>
      </c>
      <c r="G134" s="198">
        <v>18</v>
      </c>
      <c r="H134" s="199">
        <f t="shared" si="27"/>
        <v>7.2418230508197396</v>
      </c>
      <c r="I134" s="199">
        <f t="shared" si="43"/>
        <v>4.7305566459474955</v>
      </c>
      <c r="J134" s="200">
        <f t="shared" si="40"/>
        <v>85.150019627054917</v>
      </c>
      <c r="K134" s="207">
        <f t="shared" ref="K134:K197" si="45">+$G134*H134</f>
        <v>130.3528149147553</v>
      </c>
      <c r="L134" s="206">
        <f t="shared" si="44"/>
        <v>-45.202795287700383</v>
      </c>
      <c r="M134" s="203">
        <f t="shared" si="28"/>
        <v>-2.4683046258143757</v>
      </c>
      <c r="N134" s="204">
        <f t="shared" si="29"/>
        <v>-47.671099913514759</v>
      </c>
      <c r="O134" s="203">
        <f t="shared" si="30"/>
        <v>0</v>
      </c>
      <c r="P134" s="203">
        <f t="shared" si="31"/>
        <v>0</v>
      </c>
      <c r="Q134" s="203">
        <v>0</v>
      </c>
      <c r="R134" s="204">
        <f t="shared" si="32"/>
        <v>-47.671099913514759</v>
      </c>
    </row>
    <row r="135" spans="1:18" x14ac:dyDescent="0.2">
      <c r="A135" s="161">
        <v>8</v>
      </c>
      <c r="B135" s="196">
        <f t="shared" si="39"/>
        <v>44774</v>
      </c>
      <c r="C135" s="216">
        <f t="shared" si="41"/>
        <v>44809</v>
      </c>
      <c r="D135" s="216">
        <f t="shared" si="41"/>
        <v>44827</v>
      </c>
      <c r="E135" s="54" t="s">
        <v>15</v>
      </c>
      <c r="F135" s="161">
        <v>9</v>
      </c>
      <c r="G135" s="198">
        <v>16</v>
      </c>
      <c r="H135" s="199">
        <f t="shared" si="27"/>
        <v>7.2418230508197396</v>
      </c>
      <c r="I135" s="199">
        <f t="shared" si="43"/>
        <v>4.7305566459474955</v>
      </c>
      <c r="J135" s="200">
        <f t="shared" si="40"/>
        <v>75.688906335159928</v>
      </c>
      <c r="K135" s="207">
        <f t="shared" si="45"/>
        <v>115.86916881311583</v>
      </c>
      <c r="L135" s="206">
        <f t="shared" si="44"/>
        <v>-40.180262477955907</v>
      </c>
      <c r="M135" s="203">
        <f t="shared" si="28"/>
        <v>-2.1940485562794452</v>
      </c>
      <c r="N135" s="204">
        <f t="shared" si="29"/>
        <v>-42.374311034235355</v>
      </c>
      <c r="O135" s="203">
        <f t="shared" si="30"/>
        <v>0</v>
      </c>
      <c r="P135" s="203">
        <f t="shared" si="31"/>
        <v>0</v>
      </c>
      <c r="Q135" s="203">
        <v>0</v>
      </c>
      <c r="R135" s="204">
        <f t="shared" si="32"/>
        <v>-42.374311034235355</v>
      </c>
    </row>
    <row r="136" spans="1:18" x14ac:dyDescent="0.2">
      <c r="A136" s="161">
        <v>9</v>
      </c>
      <c r="B136" s="196">
        <f t="shared" si="39"/>
        <v>44805</v>
      </c>
      <c r="C136" s="216">
        <f t="shared" si="41"/>
        <v>44839</v>
      </c>
      <c r="D136" s="216">
        <f t="shared" si="41"/>
        <v>44859</v>
      </c>
      <c r="E136" s="54" t="s">
        <v>15</v>
      </c>
      <c r="F136" s="161">
        <v>9</v>
      </c>
      <c r="G136" s="198">
        <v>9</v>
      </c>
      <c r="H136" s="199">
        <f t="shared" si="27"/>
        <v>7.2418230508197396</v>
      </c>
      <c r="I136" s="199">
        <f t="shared" si="43"/>
        <v>4.7305566459474955</v>
      </c>
      <c r="J136" s="200">
        <f t="shared" si="40"/>
        <v>42.575009813527458</v>
      </c>
      <c r="K136" s="207">
        <f t="shared" si="45"/>
        <v>65.17640745737765</v>
      </c>
      <c r="L136" s="206">
        <f t="shared" si="44"/>
        <v>-22.601397643850191</v>
      </c>
      <c r="M136" s="203">
        <f t="shared" si="28"/>
        <v>-1.2341523129071879</v>
      </c>
      <c r="N136" s="204">
        <f t="shared" si="29"/>
        <v>-23.835549956757379</v>
      </c>
      <c r="O136" s="203">
        <f t="shared" si="30"/>
        <v>0</v>
      </c>
      <c r="P136" s="203">
        <f t="shared" si="31"/>
        <v>0</v>
      </c>
      <c r="Q136" s="203">
        <v>0</v>
      </c>
      <c r="R136" s="204">
        <f t="shared" si="32"/>
        <v>-23.835549956757379</v>
      </c>
    </row>
    <row r="137" spans="1:18" x14ac:dyDescent="0.2">
      <c r="A137" s="125">
        <v>10</v>
      </c>
      <c r="B137" s="196">
        <f t="shared" si="39"/>
        <v>44835</v>
      </c>
      <c r="C137" s="216">
        <f t="shared" si="41"/>
        <v>44868</v>
      </c>
      <c r="D137" s="216">
        <f t="shared" si="41"/>
        <v>44888</v>
      </c>
      <c r="E137" s="54" t="s">
        <v>15</v>
      </c>
      <c r="F137" s="161">
        <v>9</v>
      </c>
      <c r="G137" s="198">
        <v>6</v>
      </c>
      <c r="H137" s="199">
        <f t="shared" si="27"/>
        <v>7.2418230508197396</v>
      </c>
      <c r="I137" s="199">
        <f t="shared" si="43"/>
        <v>4.7305566459474955</v>
      </c>
      <c r="J137" s="200">
        <f t="shared" si="40"/>
        <v>28.383339875684975</v>
      </c>
      <c r="K137" s="207">
        <f t="shared" si="45"/>
        <v>43.450938304918438</v>
      </c>
      <c r="L137" s="206">
        <f t="shared" si="44"/>
        <v>-15.067598429233463</v>
      </c>
      <c r="M137" s="203">
        <f t="shared" si="28"/>
        <v>-0.82276820860479183</v>
      </c>
      <c r="N137" s="204">
        <f t="shared" si="29"/>
        <v>-15.890366637838255</v>
      </c>
      <c r="O137" s="203">
        <f t="shared" si="30"/>
        <v>0</v>
      </c>
      <c r="P137" s="203">
        <f t="shared" si="31"/>
        <v>0</v>
      </c>
      <c r="Q137" s="203">
        <v>0</v>
      </c>
      <c r="R137" s="204">
        <f t="shared" si="32"/>
        <v>-15.890366637838255</v>
      </c>
    </row>
    <row r="138" spans="1:18" x14ac:dyDescent="0.2">
      <c r="A138" s="161">
        <v>11</v>
      </c>
      <c r="B138" s="196">
        <f t="shared" si="39"/>
        <v>44866</v>
      </c>
      <c r="C138" s="216">
        <f t="shared" si="41"/>
        <v>44900</v>
      </c>
      <c r="D138" s="216">
        <f t="shared" si="41"/>
        <v>44918</v>
      </c>
      <c r="E138" s="54" t="s">
        <v>15</v>
      </c>
      <c r="F138" s="161">
        <v>9</v>
      </c>
      <c r="G138" s="198">
        <v>6</v>
      </c>
      <c r="H138" s="199">
        <f t="shared" si="27"/>
        <v>7.2418230508197396</v>
      </c>
      <c r="I138" s="199">
        <f t="shared" si="43"/>
        <v>4.7305566459474955</v>
      </c>
      <c r="J138" s="200">
        <f t="shared" si="40"/>
        <v>28.383339875684975</v>
      </c>
      <c r="K138" s="207">
        <f t="shared" si="45"/>
        <v>43.450938304918438</v>
      </c>
      <c r="L138" s="206">
        <f t="shared" si="44"/>
        <v>-15.067598429233463</v>
      </c>
      <c r="M138" s="203">
        <f t="shared" si="28"/>
        <v>-0.82276820860479183</v>
      </c>
      <c r="N138" s="204">
        <f t="shared" si="29"/>
        <v>-15.890366637838255</v>
      </c>
      <c r="O138" s="203">
        <f t="shared" si="30"/>
        <v>0</v>
      </c>
      <c r="P138" s="203">
        <f t="shared" si="31"/>
        <v>0</v>
      </c>
      <c r="Q138" s="203">
        <v>0</v>
      </c>
      <c r="R138" s="204">
        <f t="shared" si="32"/>
        <v>-15.890366637838255</v>
      </c>
    </row>
    <row r="139" spans="1:18" s="220" customFormat="1" x14ac:dyDescent="0.2">
      <c r="A139" s="161">
        <v>12</v>
      </c>
      <c r="B139" s="218">
        <f t="shared" si="39"/>
        <v>44896</v>
      </c>
      <c r="C139" s="216">
        <f t="shared" si="41"/>
        <v>44930</v>
      </c>
      <c r="D139" s="216">
        <f t="shared" si="41"/>
        <v>44950</v>
      </c>
      <c r="E139" s="219" t="s">
        <v>15</v>
      </c>
      <c r="F139" s="172">
        <v>9</v>
      </c>
      <c r="G139" s="198">
        <v>8</v>
      </c>
      <c r="H139" s="208">
        <f t="shared" si="27"/>
        <v>7.2418230508197396</v>
      </c>
      <c r="I139" s="208">
        <f t="shared" si="43"/>
        <v>4.7305566459474955</v>
      </c>
      <c r="J139" s="209">
        <f t="shared" si="40"/>
        <v>37.844453167579964</v>
      </c>
      <c r="K139" s="210">
        <f t="shared" si="45"/>
        <v>57.934584406557917</v>
      </c>
      <c r="L139" s="211">
        <f t="shared" si="44"/>
        <v>-20.090131238977953</v>
      </c>
      <c r="M139" s="203">
        <f t="shared" si="28"/>
        <v>-1.0970242781397226</v>
      </c>
      <c r="N139" s="204">
        <f t="shared" si="29"/>
        <v>-21.187155517117677</v>
      </c>
      <c r="O139" s="203">
        <f t="shared" si="30"/>
        <v>0</v>
      </c>
      <c r="P139" s="203">
        <f t="shared" si="31"/>
        <v>0</v>
      </c>
      <c r="Q139" s="203">
        <v>0</v>
      </c>
      <c r="R139" s="204">
        <f t="shared" si="32"/>
        <v>-21.187155517117677</v>
      </c>
    </row>
    <row r="140" spans="1:18" x14ac:dyDescent="0.2">
      <c r="A140" s="125">
        <v>1</v>
      </c>
      <c r="B140" s="196">
        <f t="shared" si="39"/>
        <v>44562</v>
      </c>
      <c r="C140" s="213">
        <f t="shared" ref="C140:D151" si="46">+C128</f>
        <v>44595</v>
      </c>
      <c r="D140" s="213">
        <f t="shared" si="46"/>
        <v>44615</v>
      </c>
      <c r="E140" s="223" t="s">
        <v>16</v>
      </c>
      <c r="F140" s="161">
        <v>9</v>
      </c>
      <c r="G140" s="198">
        <v>3</v>
      </c>
      <c r="H140" s="199">
        <f t="shared" si="27"/>
        <v>7.2418230508197396</v>
      </c>
      <c r="I140" s="199">
        <f t="shared" si="43"/>
        <v>4.7305566459474955</v>
      </c>
      <c r="J140" s="200">
        <f t="shared" si="40"/>
        <v>14.191669937842487</v>
      </c>
      <c r="K140" s="201">
        <f t="shared" si="45"/>
        <v>21.725469152459219</v>
      </c>
      <c r="L140" s="202">
        <f t="shared" si="44"/>
        <v>-7.5337992146167316</v>
      </c>
      <c r="M140" s="203">
        <f t="shared" si="28"/>
        <v>-0.41138410430239591</v>
      </c>
      <c r="N140" s="204">
        <f t="shared" si="29"/>
        <v>-7.9451833189191277</v>
      </c>
      <c r="O140" s="203">
        <f t="shared" si="30"/>
        <v>0</v>
      </c>
      <c r="P140" s="203">
        <f t="shared" si="31"/>
        <v>0</v>
      </c>
      <c r="Q140" s="203">
        <v>0</v>
      </c>
      <c r="R140" s="204">
        <f t="shared" si="32"/>
        <v>-7.9451833189191277</v>
      </c>
    </row>
    <row r="141" spans="1:18" x14ac:dyDescent="0.2">
      <c r="A141" s="161">
        <v>2</v>
      </c>
      <c r="B141" s="196">
        <f t="shared" si="39"/>
        <v>44593</v>
      </c>
      <c r="C141" s="216">
        <f t="shared" si="46"/>
        <v>44623</v>
      </c>
      <c r="D141" s="216">
        <f t="shared" si="46"/>
        <v>44642</v>
      </c>
      <c r="E141" s="54" t="s">
        <v>16</v>
      </c>
      <c r="F141" s="161">
        <v>9</v>
      </c>
      <c r="G141" s="198">
        <v>2</v>
      </c>
      <c r="H141" s="199">
        <f t="shared" si="27"/>
        <v>7.2418230508197396</v>
      </c>
      <c r="I141" s="199">
        <f t="shared" si="43"/>
        <v>4.7305566459474955</v>
      </c>
      <c r="J141" s="200">
        <f t="shared" si="40"/>
        <v>9.461113291894991</v>
      </c>
      <c r="K141" s="201">
        <f t="shared" si="45"/>
        <v>14.483646101639479</v>
      </c>
      <c r="L141" s="202">
        <f t="shared" si="44"/>
        <v>-5.0225328097444883</v>
      </c>
      <c r="M141" s="203">
        <f t="shared" si="28"/>
        <v>-0.27425606953493065</v>
      </c>
      <c r="N141" s="204">
        <f t="shared" si="29"/>
        <v>-5.2967888792794193</v>
      </c>
      <c r="O141" s="203">
        <f t="shared" si="30"/>
        <v>0</v>
      </c>
      <c r="P141" s="203">
        <f t="shared" si="31"/>
        <v>0</v>
      </c>
      <c r="Q141" s="203">
        <v>0</v>
      </c>
      <c r="R141" s="204">
        <f t="shared" si="32"/>
        <v>-5.2967888792794193</v>
      </c>
    </row>
    <row r="142" spans="1:18" x14ac:dyDescent="0.2">
      <c r="A142" s="161">
        <v>3</v>
      </c>
      <c r="B142" s="196">
        <f t="shared" si="39"/>
        <v>44621</v>
      </c>
      <c r="C142" s="216">
        <f t="shared" si="46"/>
        <v>44656</v>
      </c>
      <c r="D142" s="216">
        <f t="shared" si="46"/>
        <v>44676</v>
      </c>
      <c r="E142" s="54" t="s">
        <v>16</v>
      </c>
      <c r="F142" s="161">
        <v>9</v>
      </c>
      <c r="G142" s="198">
        <v>3</v>
      </c>
      <c r="H142" s="199">
        <f t="shared" si="27"/>
        <v>7.2418230508197396</v>
      </c>
      <c r="I142" s="199">
        <f t="shared" si="43"/>
        <v>4.7305566459474955</v>
      </c>
      <c r="J142" s="200">
        <f t="shared" si="40"/>
        <v>14.191669937842487</v>
      </c>
      <c r="K142" s="201">
        <f t="shared" si="45"/>
        <v>21.725469152459219</v>
      </c>
      <c r="L142" s="202">
        <f>+J142-K142</f>
        <v>-7.5337992146167316</v>
      </c>
      <c r="M142" s="203">
        <f t="shared" si="28"/>
        <v>-0.41138410430239591</v>
      </c>
      <c r="N142" s="204">
        <f t="shared" si="29"/>
        <v>-7.9451833189191277</v>
      </c>
      <c r="O142" s="203">
        <f t="shared" si="30"/>
        <v>0</v>
      </c>
      <c r="P142" s="203">
        <f t="shared" si="31"/>
        <v>0</v>
      </c>
      <c r="Q142" s="203">
        <v>0</v>
      </c>
      <c r="R142" s="204">
        <f t="shared" si="32"/>
        <v>-7.9451833189191277</v>
      </c>
    </row>
    <row r="143" spans="1:18" x14ac:dyDescent="0.2">
      <c r="A143" s="125">
        <v>4</v>
      </c>
      <c r="B143" s="196">
        <f t="shared" si="39"/>
        <v>44652</v>
      </c>
      <c r="C143" s="216">
        <f t="shared" si="46"/>
        <v>44685</v>
      </c>
      <c r="D143" s="216">
        <f t="shared" si="46"/>
        <v>44705</v>
      </c>
      <c r="E143" s="54" t="s">
        <v>16</v>
      </c>
      <c r="F143" s="161">
        <v>9</v>
      </c>
      <c r="G143" s="198">
        <v>2</v>
      </c>
      <c r="H143" s="199">
        <f t="shared" si="27"/>
        <v>7.2418230508197396</v>
      </c>
      <c r="I143" s="199">
        <f t="shared" si="43"/>
        <v>4.7305566459474955</v>
      </c>
      <c r="J143" s="200">
        <f t="shared" si="40"/>
        <v>9.461113291894991</v>
      </c>
      <c r="K143" s="201">
        <f t="shared" si="45"/>
        <v>14.483646101639479</v>
      </c>
      <c r="L143" s="202">
        <f t="shared" ref="L143:L153" si="47">+J143-K143</f>
        <v>-5.0225328097444883</v>
      </c>
      <c r="M143" s="203">
        <f t="shared" si="28"/>
        <v>-0.27425606953493065</v>
      </c>
      <c r="N143" s="204">
        <f t="shared" si="29"/>
        <v>-5.2967888792794193</v>
      </c>
      <c r="O143" s="203">
        <f t="shared" si="30"/>
        <v>0</v>
      </c>
      <c r="P143" s="203">
        <f t="shared" si="31"/>
        <v>0</v>
      </c>
      <c r="Q143" s="203">
        <v>0</v>
      </c>
      <c r="R143" s="204">
        <f t="shared" si="32"/>
        <v>-5.2967888792794193</v>
      </c>
    </row>
    <row r="144" spans="1:18" x14ac:dyDescent="0.2">
      <c r="A144" s="161">
        <v>5</v>
      </c>
      <c r="B144" s="196">
        <f t="shared" si="39"/>
        <v>44682</v>
      </c>
      <c r="C144" s="216">
        <f t="shared" si="46"/>
        <v>44715</v>
      </c>
      <c r="D144" s="216">
        <f t="shared" si="46"/>
        <v>44735</v>
      </c>
      <c r="E144" s="54" t="s">
        <v>16</v>
      </c>
      <c r="F144" s="161">
        <v>9</v>
      </c>
      <c r="G144" s="198">
        <v>3</v>
      </c>
      <c r="H144" s="199">
        <f t="shared" si="27"/>
        <v>7.2418230508197396</v>
      </c>
      <c r="I144" s="199">
        <f t="shared" si="43"/>
        <v>4.7305566459474955</v>
      </c>
      <c r="J144" s="200">
        <f t="shared" si="40"/>
        <v>14.191669937842487</v>
      </c>
      <c r="K144" s="201">
        <f t="shared" si="45"/>
        <v>21.725469152459219</v>
      </c>
      <c r="L144" s="202">
        <f t="shared" si="47"/>
        <v>-7.5337992146167316</v>
      </c>
      <c r="M144" s="203">
        <f t="shared" si="28"/>
        <v>-0.41138410430239591</v>
      </c>
      <c r="N144" s="204">
        <f t="shared" si="29"/>
        <v>-7.9451833189191277</v>
      </c>
      <c r="O144" s="203">
        <f t="shared" si="30"/>
        <v>0</v>
      </c>
      <c r="P144" s="203">
        <f t="shared" si="31"/>
        <v>0</v>
      </c>
      <c r="Q144" s="203">
        <v>0</v>
      </c>
      <c r="R144" s="204">
        <f t="shared" si="32"/>
        <v>-7.9451833189191277</v>
      </c>
    </row>
    <row r="145" spans="1:19" x14ac:dyDescent="0.2">
      <c r="A145" s="161">
        <v>6</v>
      </c>
      <c r="B145" s="196">
        <f t="shared" si="39"/>
        <v>44713</v>
      </c>
      <c r="C145" s="216">
        <f t="shared" si="46"/>
        <v>44747</v>
      </c>
      <c r="D145" s="216">
        <f t="shared" si="46"/>
        <v>44767</v>
      </c>
      <c r="E145" s="54" t="s">
        <v>16</v>
      </c>
      <c r="F145" s="161">
        <v>9</v>
      </c>
      <c r="G145" s="198">
        <v>5</v>
      </c>
      <c r="H145" s="199">
        <f t="shared" si="27"/>
        <v>7.2418230508197396</v>
      </c>
      <c r="I145" s="199">
        <f t="shared" si="43"/>
        <v>4.7305566459474955</v>
      </c>
      <c r="J145" s="200">
        <f t="shared" si="40"/>
        <v>23.652783229737476</v>
      </c>
      <c r="K145" s="201">
        <f t="shared" si="45"/>
        <v>36.209115254098698</v>
      </c>
      <c r="L145" s="206">
        <f t="shared" si="47"/>
        <v>-12.556332024361222</v>
      </c>
      <c r="M145" s="203">
        <f t="shared" si="28"/>
        <v>-0.68564017383732656</v>
      </c>
      <c r="N145" s="204">
        <f t="shared" si="29"/>
        <v>-13.241972198198548</v>
      </c>
      <c r="O145" s="203">
        <f t="shared" si="30"/>
        <v>0</v>
      </c>
      <c r="P145" s="203">
        <f t="shared" si="31"/>
        <v>0</v>
      </c>
      <c r="Q145" s="203">
        <v>0</v>
      </c>
      <c r="R145" s="204">
        <f t="shared" si="32"/>
        <v>-13.241972198198548</v>
      </c>
    </row>
    <row r="146" spans="1:19" x14ac:dyDescent="0.2">
      <c r="A146" s="125">
        <v>7</v>
      </c>
      <c r="B146" s="196">
        <f t="shared" si="39"/>
        <v>44743</v>
      </c>
      <c r="C146" s="216">
        <f t="shared" si="46"/>
        <v>44776</v>
      </c>
      <c r="D146" s="216">
        <f t="shared" si="46"/>
        <v>44796</v>
      </c>
      <c r="E146" s="54" t="s">
        <v>16</v>
      </c>
      <c r="F146" s="161">
        <v>9</v>
      </c>
      <c r="G146" s="198">
        <v>6</v>
      </c>
      <c r="H146" s="199">
        <f t="shared" si="27"/>
        <v>7.2418230508197396</v>
      </c>
      <c r="I146" s="199">
        <f t="shared" si="43"/>
        <v>4.7305566459474955</v>
      </c>
      <c r="J146" s="200">
        <f t="shared" si="40"/>
        <v>28.383339875684975</v>
      </c>
      <c r="K146" s="207">
        <f t="shared" si="45"/>
        <v>43.450938304918438</v>
      </c>
      <c r="L146" s="206">
        <f t="shared" si="47"/>
        <v>-15.067598429233463</v>
      </c>
      <c r="M146" s="203">
        <f t="shared" si="28"/>
        <v>-0.82276820860479183</v>
      </c>
      <c r="N146" s="204">
        <f t="shared" si="29"/>
        <v>-15.890366637838255</v>
      </c>
      <c r="O146" s="203">
        <f t="shared" si="30"/>
        <v>0</v>
      </c>
      <c r="P146" s="203">
        <f t="shared" si="31"/>
        <v>0</v>
      </c>
      <c r="Q146" s="203">
        <v>0</v>
      </c>
      <c r="R146" s="204">
        <f t="shared" si="32"/>
        <v>-15.890366637838255</v>
      </c>
    </row>
    <row r="147" spans="1:19" x14ac:dyDescent="0.2">
      <c r="A147" s="161">
        <v>8</v>
      </c>
      <c r="B147" s="196">
        <f t="shared" si="39"/>
        <v>44774</v>
      </c>
      <c r="C147" s="216">
        <f t="shared" si="46"/>
        <v>44809</v>
      </c>
      <c r="D147" s="216">
        <f t="shared" si="46"/>
        <v>44827</v>
      </c>
      <c r="E147" s="54" t="s">
        <v>16</v>
      </c>
      <c r="F147" s="161">
        <v>9</v>
      </c>
      <c r="G147" s="198">
        <v>6</v>
      </c>
      <c r="H147" s="199">
        <f t="shared" si="27"/>
        <v>7.2418230508197396</v>
      </c>
      <c r="I147" s="199">
        <f t="shared" si="43"/>
        <v>4.7305566459474955</v>
      </c>
      <c r="J147" s="200">
        <f t="shared" si="40"/>
        <v>28.383339875684975</v>
      </c>
      <c r="K147" s="207">
        <f t="shared" si="45"/>
        <v>43.450938304918438</v>
      </c>
      <c r="L147" s="206">
        <f t="shared" si="47"/>
        <v>-15.067598429233463</v>
      </c>
      <c r="M147" s="203">
        <f t="shared" si="28"/>
        <v>-0.82276820860479183</v>
      </c>
      <c r="N147" s="204">
        <f t="shared" si="29"/>
        <v>-15.890366637838255</v>
      </c>
      <c r="O147" s="203">
        <f t="shared" si="30"/>
        <v>0</v>
      </c>
      <c r="P147" s="203">
        <f t="shared" si="31"/>
        <v>0</v>
      </c>
      <c r="Q147" s="203">
        <v>0</v>
      </c>
      <c r="R147" s="204">
        <f t="shared" si="32"/>
        <v>-15.890366637838255</v>
      </c>
    </row>
    <row r="148" spans="1:19" x14ac:dyDescent="0.2">
      <c r="A148" s="161">
        <v>9</v>
      </c>
      <c r="B148" s="196">
        <f t="shared" si="39"/>
        <v>44805</v>
      </c>
      <c r="C148" s="216">
        <f t="shared" si="46"/>
        <v>44839</v>
      </c>
      <c r="D148" s="216">
        <f t="shared" si="46"/>
        <v>44859</v>
      </c>
      <c r="E148" s="54" t="s">
        <v>16</v>
      </c>
      <c r="F148" s="161">
        <v>9</v>
      </c>
      <c r="G148" s="198">
        <v>3</v>
      </c>
      <c r="H148" s="199">
        <f t="shared" si="27"/>
        <v>7.2418230508197396</v>
      </c>
      <c r="I148" s="199">
        <f t="shared" ref="I148:I179" si="48">$J$3</f>
        <v>4.7305566459474955</v>
      </c>
      <c r="J148" s="200">
        <f t="shared" si="40"/>
        <v>14.191669937842487</v>
      </c>
      <c r="K148" s="207">
        <f t="shared" si="45"/>
        <v>21.725469152459219</v>
      </c>
      <c r="L148" s="206">
        <f t="shared" si="47"/>
        <v>-7.5337992146167316</v>
      </c>
      <c r="M148" s="203">
        <f t="shared" si="28"/>
        <v>-0.41138410430239591</v>
      </c>
      <c r="N148" s="204">
        <f t="shared" si="29"/>
        <v>-7.9451833189191277</v>
      </c>
      <c r="O148" s="203">
        <f t="shared" si="30"/>
        <v>0</v>
      </c>
      <c r="P148" s="203">
        <f t="shared" si="31"/>
        <v>0</v>
      </c>
      <c r="Q148" s="203">
        <v>0</v>
      </c>
      <c r="R148" s="204">
        <f t="shared" si="32"/>
        <v>-7.9451833189191277</v>
      </c>
    </row>
    <row r="149" spans="1:19" x14ac:dyDescent="0.2">
      <c r="A149" s="125">
        <v>10</v>
      </c>
      <c r="B149" s="196">
        <f t="shared" ref="B149:B211" si="49">DATE($R$1,A149,1)</f>
        <v>44835</v>
      </c>
      <c r="C149" s="216">
        <f t="shared" si="46"/>
        <v>44868</v>
      </c>
      <c r="D149" s="216">
        <f t="shared" si="46"/>
        <v>44888</v>
      </c>
      <c r="E149" s="54" t="s">
        <v>16</v>
      </c>
      <c r="F149" s="161">
        <v>9</v>
      </c>
      <c r="G149" s="198">
        <v>2</v>
      </c>
      <c r="H149" s="199">
        <f t="shared" ref="H149:H211" si="50">+$K$3</f>
        <v>7.2418230508197396</v>
      </c>
      <c r="I149" s="199">
        <f t="shared" si="48"/>
        <v>4.7305566459474955</v>
      </c>
      <c r="J149" s="200">
        <f t="shared" ref="J149:J211" si="51">+$G149*I149</f>
        <v>9.461113291894991</v>
      </c>
      <c r="K149" s="207">
        <f t="shared" si="45"/>
        <v>14.483646101639479</v>
      </c>
      <c r="L149" s="206">
        <f t="shared" si="47"/>
        <v>-5.0225328097444883</v>
      </c>
      <c r="M149" s="203">
        <f t="shared" ref="M149:M211" si="52">G149/$G$212*$M$14</f>
        <v>-0.27425606953493065</v>
      </c>
      <c r="N149" s="204">
        <f t="shared" ref="N149:N211" si="53">SUM(L149:M149)</f>
        <v>-5.2967888792794193</v>
      </c>
      <c r="O149" s="203">
        <f t="shared" ref="O149:O211" si="54">+$P$3</f>
        <v>0</v>
      </c>
      <c r="P149" s="203">
        <f t="shared" ref="P149:P211" si="55">+G149*O149</f>
        <v>0</v>
      </c>
      <c r="Q149" s="203">
        <v>0</v>
      </c>
      <c r="R149" s="204">
        <f t="shared" ref="R149:R211" si="56">+N149-Q149</f>
        <v>-5.2967888792794193</v>
      </c>
    </row>
    <row r="150" spans="1:19" x14ac:dyDescent="0.2">
      <c r="A150" s="161">
        <v>11</v>
      </c>
      <c r="B150" s="196">
        <f t="shared" si="49"/>
        <v>44866</v>
      </c>
      <c r="C150" s="216">
        <f t="shared" si="46"/>
        <v>44900</v>
      </c>
      <c r="D150" s="216">
        <f t="shared" si="46"/>
        <v>44918</v>
      </c>
      <c r="E150" s="54" t="s">
        <v>16</v>
      </c>
      <c r="F150" s="161">
        <v>9</v>
      </c>
      <c r="G150" s="198">
        <v>1</v>
      </c>
      <c r="H150" s="199">
        <f t="shared" si="50"/>
        <v>7.2418230508197396</v>
      </c>
      <c r="I150" s="199">
        <f t="shared" si="48"/>
        <v>4.7305566459474955</v>
      </c>
      <c r="J150" s="200">
        <f t="shared" si="51"/>
        <v>4.7305566459474955</v>
      </c>
      <c r="K150" s="207">
        <f t="shared" si="45"/>
        <v>7.2418230508197396</v>
      </c>
      <c r="L150" s="206">
        <f t="shared" si="47"/>
        <v>-2.5112664048722442</v>
      </c>
      <c r="M150" s="203">
        <f t="shared" si="52"/>
        <v>-0.13712803476746532</v>
      </c>
      <c r="N150" s="204">
        <f t="shared" si="53"/>
        <v>-2.6483944396397097</v>
      </c>
      <c r="O150" s="203">
        <f t="shared" si="54"/>
        <v>0</v>
      </c>
      <c r="P150" s="203">
        <f t="shared" si="55"/>
        <v>0</v>
      </c>
      <c r="Q150" s="203">
        <v>0</v>
      </c>
      <c r="R150" s="204">
        <f t="shared" si="56"/>
        <v>-2.6483944396397097</v>
      </c>
    </row>
    <row r="151" spans="1:19" s="220" customFormat="1" x14ac:dyDescent="0.2">
      <c r="A151" s="161">
        <v>12</v>
      </c>
      <c r="B151" s="218">
        <f t="shared" si="49"/>
        <v>44896</v>
      </c>
      <c r="C151" s="216">
        <f t="shared" si="46"/>
        <v>44930</v>
      </c>
      <c r="D151" s="216">
        <f t="shared" si="46"/>
        <v>44950</v>
      </c>
      <c r="E151" s="219" t="s">
        <v>16</v>
      </c>
      <c r="F151" s="172">
        <v>9</v>
      </c>
      <c r="G151" s="198">
        <v>4</v>
      </c>
      <c r="H151" s="208">
        <f t="shared" si="50"/>
        <v>7.2418230508197396</v>
      </c>
      <c r="I151" s="208">
        <f t="shared" si="48"/>
        <v>4.7305566459474955</v>
      </c>
      <c r="J151" s="209">
        <f t="shared" si="51"/>
        <v>18.922226583789982</v>
      </c>
      <c r="K151" s="210">
        <f t="shared" si="45"/>
        <v>28.967292203278959</v>
      </c>
      <c r="L151" s="211">
        <f t="shared" si="47"/>
        <v>-10.045065619488977</v>
      </c>
      <c r="M151" s="203">
        <f t="shared" si="52"/>
        <v>-0.54851213906986129</v>
      </c>
      <c r="N151" s="204">
        <f t="shared" si="53"/>
        <v>-10.593577758558839</v>
      </c>
      <c r="O151" s="203">
        <f t="shared" si="54"/>
        <v>0</v>
      </c>
      <c r="P151" s="203">
        <f t="shared" si="55"/>
        <v>0</v>
      </c>
      <c r="Q151" s="203">
        <v>0</v>
      </c>
      <c r="R151" s="204">
        <f t="shared" si="56"/>
        <v>-10.593577758558839</v>
      </c>
    </row>
    <row r="152" spans="1:19" x14ac:dyDescent="0.2">
      <c r="A152" s="125">
        <v>1</v>
      </c>
      <c r="B152" s="196">
        <f t="shared" si="49"/>
        <v>44562</v>
      </c>
      <c r="C152" s="213">
        <f t="shared" ref="C152:D171" si="57">+C140</f>
        <v>44595</v>
      </c>
      <c r="D152" s="213">
        <f t="shared" si="57"/>
        <v>44615</v>
      </c>
      <c r="E152" s="223" t="s">
        <v>55</v>
      </c>
      <c r="F152" s="125">
        <v>9</v>
      </c>
      <c r="G152" s="198">
        <v>121</v>
      </c>
      <c r="H152" s="199">
        <f t="shared" si="50"/>
        <v>7.2418230508197396</v>
      </c>
      <c r="I152" s="199">
        <f t="shared" si="48"/>
        <v>4.7305566459474955</v>
      </c>
      <c r="J152" s="200">
        <f t="shared" si="51"/>
        <v>572.39735415964697</v>
      </c>
      <c r="K152" s="201">
        <f t="shared" si="45"/>
        <v>876.26058914918849</v>
      </c>
      <c r="L152" s="202">
        <f t="shared" si="47"/>
        <v>-303.86323498954152</v>
      </c>
      <c r="M152" s="203">
        <f t="shared" si="52"/>
        <v>-16.592492206863302</v>
      </c>
      <c r="N152" s="204">
        <f t="shared" si="53"/>
        <v>-320.45572719640484</v>
      </c>
      <c r="O152" s="203">
        <f t="shared" si="54"/>
        <v>0</v>
      </c>
      <c r="P152" s="203">
        <f t="shared" si="55"/>
        <v>0</v>
      </c>
      <c r="Q152" s="203">
        <v>0</v>
      </c>
      <c r="R152" s="204">
        <f t="shared" si="56"/>
        <v>-320.45572719640484</v>
      </c>
    </row>
    <row r="153" spans="1:19" x14ac:dyDescent="0.2">
      <c r="A153" s="161">
        <v>2</v>
      </c>
      <c r="B153" s="196">
        <f t="shared" si="49"/>
        <v>44593</v>
      </c>
      <c r="C153" s="216">
        <f t="shared" si="57"/>
        <v>44623</v>
      </c>
      <c r="D153" s="216">
        <f t="shared" si="57"/>
        <v>44642</v>
      </c>
      <c r="E153" s="224" t="s">
        <v>55</v>
      </c>
      <c r="F153" s="161">
        <v>9</v>
      </c>
      <c r="G153" s="198">
        <v>109</v>
      </c>
      <c r="H153" s="199">
        <f t="shared" si="50"/>
        <v>7.2418230508197396</v>
      </c>
      <c r="I153" s="199">
        <f t="shared" si="48"/>
        <v>4.7305566459474955</v>
      </c>
      <c r="J153" s="200">
        <f t="shared" si="51"/>
        <v>515.63067440827706</v>
      </c>
      <c r="K153" s="201">
        <f t="shared" si="45"/>
        <v>789.35871253935159</v>
      </c>
      <c r="L153" s="202">
        <f t="shared" si="47"/>
        <v>-273.72803813107453</v>
      </c>
      <c r="M153" s="203">
        <f t="shared" si="52"/>
        <v>-14.946955789653719</v>
      </c>
      <c r="N153" s="204">
        <f t="shared" si="53"/>
        <v>-288.67499392072824</v>
      </c>
      <c r="O153" s="203">
        <f t="shared" si="54"/>
        <v>0</v>
      </c>
      <c r="P153" s="203">
        <f t="shared" si="55"/>
        <v>0</v>
      </c>
      <c r="Q153" s="203">
        <v>0</v>
      </c>
      <c r="R153" s="204">
        <f t="shared" si="56"/>
        <v>-288.67499392072824</v>
      </c>
    </row>
    <row r="154" spans="1:19" x14ac:dyDescent="0.2">
      <c r="A154" s="161">
        <v>3</v>
      </c>
      <c r="B154" s="196">
        <f t="shared" si="49"/>
        <v>44621</v>
      </c>
      <c r="C154" s="216">
        <f t="shared" si="57"/>
        <v>44656</v>
      </c>
      <c r="D154" s="216">
        <f t="shared" si="57"/>
        <v>44676</v>
      </c>
      <c r="E154" s="224" t="s">
        <v>55</v>
      </c>
      <c r="F154" s="161">
        <v>9</v>
      </c>
      <c r="G154" s="198">
        <v>95</v>
      </c>
      <c r="H154" s="199">
        <f t="shared" si="50"/>
        <v>7.2418230508197396</v>
      </c>
      <c r="I154" s="199">
        <f t="shared" si="48"/>
        <v>4.7305566459474955</v>
      </c>
      <c r="J154" s="200">
        <f t="shared" si="51"/>
        <v>449.40288136501209</v>
      </c>
      <c r="K154" s="201">
        <f t="shared" si="45"/>
        <v>687.97318982787522</v>
      </c>
      <c r="L154" s="202">
        <f>+J154-K154</f>
        <v>-238.57030846286312</v>
      </c>
      <c r="M154" s="203">
        <f t="shared" si="52"/>
        <v>-13.027163302909205</v>
      </c>
      <c r="N154" s="204">
        <f t="shared" si="53"/>
        <v>-251.59747176577233</v>
      </c>
      <c r="O154" s="203">
        <f t="shared" si="54"/>
        <v>0</v>
      </c>
      <c r="P154" s="203">
        <f t="shared" si="55"/>
        <v>0</v>
      </c>
      <c r="Q154" s="203">
        <v>0</v>
      </c>
      <c r="R154" s="204">
        <f t="shared" si="56"/>
        <v>-251.59747176577233</v>
      </c>
    </row>
    <row r="155" spans="1:19" x14ac:dyDescent="0.2">
      <c r="A155" s="125">
        <v>4</v>
      </c>
      <c r="B155" s="196">
        <f t="shared" si="49"/>
        <v>44652</v>
      </c>
      <c r="C155" s="216">
        <f t="shared" si="57"/>
        <v>44685</v>
      </c>
      <c r="D155" s="216">
        <f t="shared" si="57"/>
        <v>44705</v>
      </c>
      <c r="E155" s="224" t="s">
        <v>55</v>
      </c>
      <c r="F155" s="161">
        <v>9</v>
      </c>
      <c r="G155" s="198">
        <v>93</v>
      </c>
      <c r="H155" s="199">
        <f t="shared" si="50"/>
        <v>7.2418230508197396</v>
      </c>
      <c r="I155" s="199">
        <f t="shared" si="48"/>
        <v>4.7305566459474955</v>
      </c>
      <c r="J155" s="200">
        <f t="shared" si="51"/>
        <v>439.94176807311709</v>
      </c>
      <c r="K155" s="201">
        <f t="shared" si="45"/>
        <v>673.48954372623575</v>
      </c>
      <c r="L155" s="202">
        <f t="shared" ref="L155:L165" si="58">+J155-K155</f>
        <v>-233.54777565311866</v>
      </c>
      <c r="M155" s="203">
        <f t="shared" si="52"/>
        <v>-12.752907233374273</v>
      </c>
      <c r="N155" s="204">
        <f t="shared" si="53"/>
        <v>-246.30068288649295</v>
      </c>
      <c r="O155" s="203">
        <f t="shared" si="54"/>
        <v>0</v>
      </c>
      <c r="P155" s="203">
        <f t="shared" si="55"/>
        <v>0</v>
      </c>
      <c r="Q155" s="203">
        <v>0</v>
      </c>
      <c r="R155" s="204">
        <f t="shared" si="56"/>
        <v>-246.30068288649295</v>
      </c>
    </row>
    <row r="156" spans="1:19" x14ac:dyDescent="0.2">
      <c r="A156" s="161">
        <v>5</v>
      </c>
      <c r="B156" s="196">
        <f t="shared" si="49"/>
        <v>44682</v>
      </c>
      <c r="C156" s="216">
        <f t="shared" si="57"/>
        <v>44715</v>
      </c>
      <c r="D156" s="216">
        <f t="shared" si="57"/>
        <v>44735</v>
      </c>
      <c r="E156" s="224" t="s">
        <v>55</v>
      </c>
      <c r="F156" s="161">
        <v>9</v>
      </c>
      <c r="G156" s="198">
        <v>125</v>
      </c>
      <c r="H156" s="199">
        <f t="shared" si="50"/>
        <v>7.2418230508197396</v>
      </c>
      <c r="I156" s="199">
        <f t="shared" si="48"/>
        <v>4.7305566459474955</v>
      </c>
      <c r="J156" s="200">
        <f t="shared" si="51"/>
        <v>591.31958074343697</v>
      </c>
      <c r="K156" s="201">
        <f t="shared" si="45"/>
        <v>905.22788135246742</v>
      </c>
      <c r="L156" s="202">
        <f t="shared" si="58"/>
        <v>-313.90830060903045</v>
      </c>
      <c r="M156" s="203">
        <f t="shared" si="52"/>
        <v>-17.141004345933162</v>
      </c>
      <c r="N156" s="204">
        <f t="shared" si="53"/>
        <v>-331.04930495496359</v>
      </c>
      <c r="O156" s="203">
        <f t="shared" si="54"/>
        <v>0</v>
      </c>
      <c r="P156" s="203">
        <f t="shared" si="55"/>
        <v>0</v>
      </c>
      <c r="Q156" s="203">
        <v>0</v>
      </c>
      <c r="R156" s="204">
        <f t="shared" si="56"/>
        <v>-331.04930495496359</v>
      </c>
    </row>
    <row r="157" spans="1:19" x14ac:dyDescent="0.2">
      <c r="A157" s="161">
        <v>6</v>
      </c>
      <c r="B157" s="196">
        <f t="shared" si="49"/>
        <v>44713</v>
      </c>
      <c r="C157" s="216">
        <f t="shared" si="57"/>
        <v>44747</v>
      </c>
      <c r="D157" s="216">
        <f t="shared" si="57"/>
        <v>44767</v>
      </c>
      <c r="E157" s="224" t="s">
        <v>55</v>
      </c>
      <c r="F157" s="161">
        <v>9</v>
      </c>
      <c r="G157" s="198">
        <v>159</v>
      </c>
      <c r="H157" s="199">
        <f t="shared" si="50"/>
        <v>7.2418230508197396</v>
      </c>
      <c r="I157" s="199">
        <f t="shared" si="48"/>
        <v>4.7305566459474955</v>
      </c>
      <c r="J157" s="200">
        <f t="shared" si="51"/>
        <v>752.1585067056518</v>
      </c>
      <c r="K157" s="201">
        <f t="shared" si="45"/>
        <v>1151.4498650803387</v>
      </c>
      <c r="L157" s="206">
        <f t="shared" si="58"/>
        <v>-399.29135837468687</v>
      </c>
      <c r="M157" s="203">
        <f t="shared" si="52"/>
        <v>-21.803357528026986</v>
      </c>
      <c r="N157" s="204">
        <f t="shared" si="53"/>
        <v>-421.09471590271386</v>
      </c>
      <c r="O157" s="203">
        <f t="shared" si="54"/>
        <v>0</v>
      </c>
      <c r="P157" s="203">
        <f t="shared" si="55"/>
        <v>0</v>
      </c>
      <c r="Q157" s="203">
        <v>0</v>
      </c>
      <c r="R157" s="204">
        <f t="shared" si="56"/>
        <v>-421.09471590271386</v>
      </c>
    </row>
    <row r="158" spans="1:19" x14ac:dyDescent="0.2">
      <c r="A158" s="125">
        <v>7</v>
      </c>
      <c r="B158" s="196">
        <f t="shared" si="49"/>
        <v>44743</v>
      </c>
      <c r="C158" s="216">
        <f t="shared" si="57"/>
        <v>44776</v>
      </c>
      <c r="D158" s="216">
        <f t="shared" si="57"/>
        <v>44796</v>
      </c>
      <c r="E158" s="224" t="s">
        <v>55</v>
      </c>
      <c r="F158" s="161">
        <v>9</v>
      </c>
      <c r="G158" s="198">
        <v>176</v>
      </c>
      <c r="H158" s="199">
        <f t="shared" si="50"/>
        <v>7.2418230508197396</v>
      </c>
      <c r="I158" s="199">
        <f t="shared" si="48"/>
        <v>4.7305566459474955</v>
      </c>
      <c r="J158" s="200">
        <f t="shared" si="51"/>
        <v>832.57796968675916</v>
      </c>
      <c r="K158" s="207">
        <f t="shared" si="45"/>
        <v>1274.5608569442743</v>
      </c>
      <c r="L158" s="206">
        <f t="shared" si="58"/>
        <v>-441.98288725751513</v>
      </c>
      <c r="M158" s="203">
        <f t="shared" si="52"/>
        <v>-24.134534119073894</v>
      </c>
      <c r="N158" s="204">
        <f t="shared" si="53"/>
        <v>-466.11742137658905</v>
      </c>
      <c r="O158" s="203">
        <f t="shared" si="54"/>
        <v>0</v>
      </c>
      <c r="P158" s="203">
        <f t="shared" si="55"/>
        <v>0</v>
      </c>
      <c r="Q158" s="203">
        <v>0</v>
      </c>
      <c r="R158" s="204">
        <f t="shared" si="56"/>
        <v>-466.11742137658905</v>
      </c>
    </row>
    <row r="159" spans="1:19" x14ac:dyDescent="0.2">
      <c r="A159" s="161">
        <v>8</v>
      </c>
      <c r="B159" s="196">
        <f t="shared" si="49"/>
        <v>44774</v>
      </c>
      <c r="C159" s="216">
        <f t="shared" si="57"/>
        <v>44809</v>
      </c>
      <c r="D159" s="216">
        <f t="shared" si="57"/>
        <v>44827</v>
      </c>
      <c r="E159" s="224" t="s">
        <v>55</v>
      </c>
      <c r="F159" s="125">
        <v>9</v>
      </c>
      <c r="G159" s="198">
        <v>167</v>
      </c>
      <c r="H159" s="199">
        <f t="shared" si="50"/>
        <v>7.2418230508197396</v>
      </c>
      <c r="I159" s="199">
        <f t="shared" si="48"/>
        <v>4.7305566459474955</v>
      </c>
      <c r="J159" s="200">
        <f t="shared" si="51"/>
        <v>790.0029598732317</v>
      </c>
      <c r="K159" s="207">
        <f t="shared" si="45"/>
        <v>1209.3844494868965</v>
      </c>
      <c r="L159" s="206">
        <f t="shared" si="58"/>
        <v>-419.38148961366483</v>
      </c>
      <c r="M159" s="203">
        <f t="shared" si="52"/>
        <v>-22.90038180616671</v>
      </c>
      <c r="N159" s="204">
        <f t="shared" si="53"/>
        <v>-442.28187141983153</v>
      </c>
      <c r="O159" s="203">
        <f t="shared" si="54"/>
        <v>0</v>
      </c>
      <c r="P159" s="203">
        <f t="shared" si="55"/>
        <v>0</v>
      </c>
      <c r="Q159" s="203">
        <v>0</v>
      </c>
      <c r="R159" s="204">
        <f t="shared" si="56"/>
        <v>-442.28187141983153</v>
      </c>
      <c r="S159" s="52"/>
    </row>
    <row r="160" spans="1:19" x14ac:dyDescent="0.2">
      <c r="A160" s="161">
        <v>9</v>
      </c>
      <c r="B160" s="196">
        <f t="shared" si="49"/>
        <v>44805</v>
      </c>
      <c r="C160" s="216">
        <f t="shared" si="57"/>
        <v>44839</v>
      </c>
      <c r="D160" s="216">
        <f t="shared" si="57"/>
        <v>44859</v>
      </c>
      <c r="E160" s="224" t="s">
        <v>55</v>
      </c>
      <c r="F160" s="125">
        <v>9</v>
      </c>
      <c r="G160" s="198">
        <v>153</v>
      </c>
      <c r="H160" s="199">
        <f t="shared" si="50"/>
        <v>7.2418230508197396</v>
      </c>
      <c r="I160" s="199">
        <f t="shared" si="48"/>
        <v>4.7305566459474955</v>
      </c>
      <c r="J160" s="200">
        <f t="shared" si="51"/>
        <v>723.77516682996679</v>
      </c>
      <c r="K160" s="207">
        <f t="shared" si="45"/>
        <v>1107.9989267754202</v>
      </c>
      <c r="L160" s="206">
        <f t="shared" si="58"/>
        <v>-384.22375994545337</v>
      </c>
      <c r="M160" s="203">
        <f t="shared" si="52"/>
        <v>-20.980589319422194</v>
      </c>
      <c r="N160" s="204">
        <f t="shared" si="53"/>
        <v>-405.20434926487553</v>
      </c>
      <c r="O160" s="203">
        <f t="shared" si="54"/>
        <v>0</v>
      </c>
      <c r="P160" s="203">
        <f t="shared" si="55"/>
        <v>0</v>
      </c>
      <c r="Q160" s="203">
        <v>0</v>
      </c>
      <c r="R160" s="204">
        <f t="shared" si="56"/>
        <v>-405.20434926487553</v>
      </c>
    </row>
    <row r="161" spans="1:19" x14ac:dyDescent="0.2">
      <c r="A161" s="125">
        <v>10</v>
      </c>
      <c r="B161" s="196">
        <f t="shared" si="49"/>
        <v>44835</v>
      </c>
      <c r="C161" s="216">
        <f t="shared" si="57"/>
        <v>44868</v>
      </c>
      <c r="D161" s="216">
        <f t="shared" si="57"/>
        <v>44888</v>
      </c>
      <c r="E161" s="224" t="s">
        <v>55</v>
      </c>
      <c r="F161" s="125">
        <v>9</v>
      </c>
      <c r="G161" s="198">
        <v>104</v>
      </c>
      <c r="H161" s="199">
        <f t="shared" si="50"/>
        <v>7.2418230508197396</v>
      </c>
      <c r="I161" s="199">
        <f t="shared" si="48"/>
        <v>4.7305566459474955</v>
      </c>
      <c r="J161" s="200">
        <f t="shared" si="51"/>
        <v>491.97789117853955</v>
      </c>
      <c r="K161" s="207">
        <f t="shared" si="45"/>
        <v>753.14959728525287</v>
      </c>
      <c r="L161" s="206">
        <f t="shared" si="58"/>
        <v>-261.17170610671332</v>
      </c>
      <c r="M161" s="203">
        <f t="shared" si="52"/>
        <v>-14.261315615816391</v>
      </c>
      <c r="N161" s="204">
        <f t="shared" si="53"/>
        <v>-275.4330217225297</v>
      </c>
      <c r="O161" s="203">
        <f t="shared" si="54"/>
        <v>0</v>
      </c>
      <c r="P161" s="203">
        <f t="shared" si="55"/>
        <v>0</v>
      </c>
      <c r="Q161" s="203">
        <v>0</v>
      </c>
      <c r="R161" s="204">
        <f t="shared" si="56"/>
        <v>-275.4330217225297</v>
      </c>
    </row>
    <row r="162" spans="1:19" x14ac:dyDescent="0.2">
      <c r="A162" s="161">
        <v>11</v>
      </c>
      <c r="B162" s="196">
        <f t="shared" si="49"/>
        <v>44866</v>
      </c>
      <c r="C162" s="216">
        <f t="shared" si="57"/>
        <v>44900</v>
      </c>
      <c r="D162" s="216">
        <f t="shared" si="57"/>
        <v>44918</v>
      </c>
      <c r="E162" s="224" t="s">
        <v>55</v>
      </c>
      <c r="F162" s="125">
        <v>9</v>
      </c>
      <c r="G162" s="198">
        <v>104</v>
      </c>
      <c r="H162" s="199">
        <f t="shared" si="50"/>
        <v>7.2418230508197396</v>
      </c>
      <c r="I162" s="199">
        <f t="shared" si="48"/>
        <v>4.7305566459474955</v>
      </c>
      <c r="J162" s="200">
        <f t="shared" si="51"/>
        <v>491.97789117853955</v>
      </c>
      <c r="K162" s="207">
        <f t="shared" si="45"/>
        <v>753.14959728525287</v>
      </c>
      <c r="L162" s="206">
        <f t="shared" si="58"/>
        <v>-261.17170610671332</v>
      </c>
      <c r="M162" s="203">
        <f t="shared" si="52"/>
        <v>-14.261315615816391</v>
      </c>
      <c r="N162" s="204">
        <f t="shared" si="53"/>
        <v>-275.4330217225297</v>
      </c>
      <c r="O162" s="203">
        <f t="shared" si="54"/>
        <v>0</v>
      </c>
      <c r="P162" s="203">
        <f t="shared" si="55"/>
        <v>0</v>
      </c>
      <c r="Q162" s="203">
        <v>0</v>
      </c>
      <c r="R162" s="204">
        <f t="shared" si="56"/>
        <v>-275.4330217225297</v>
      </c>
    </row>
    <row r="163" spans="1:19" s="220" customFormat="1" x14ac:dyDescent="0.2">
      <c r="A163" s="161">
        <v>12</v>
      </c>
      <c r="B163" s="218">
        <f t="shared" si="49"/>
        <v>44896</v>
      </c>
      <c r="C163" s="216">
        <f t="shared" si="57"/>
        <v>44930</v>
      </c>
      <c r="D163" s="216">
        <f t="shared" si="57"/>
        <v>44950</v>
      </c>
      <c r="E163" s="225" t="s">
        <v>55</v>
      </c>
      <c r="F163" s="172">
        <v>9</v>
      </c>
      <c r="G163" s="198">
        <v>139</v>
      </c>
      <c r="H163" s="208">
        <f t="shared" si="50"/>
        <v>7.2418230508197396</v>
      </c>
      <c r="I163" s="208">
        <f t="shared" si="48"/>
        <v>4.7305566459474955</v>
      </c>
      <c r="J163" s="209">
        <f t="shared" si="51"/>
        <v>657.54737378670188</v>
      </c>
      <c r="K163" s="210">
        <f t="shared" si="45"/>
        <v>1006.6134040639438</v>
      </c>
      <c r="L163" s="211">
        <f t="shared" si="58"/>
        <v>-349.06603027724191</v>
      </c>
      <c r="M163" s="203">
        <f t="shared" si="52"/>
        <v>-19.060796832677678</v>
      </c>
      <c r="N163" s="204">
        <f t="shared" si="53"/>
        <v>-368.12682710991959</v>
      </c>
      <c r="O163" s="203">
        <f t="shared" si="54"/>
        <v>0</v>
      </c>
      <c r="P163" s="203">
        <f t="shared" si="55"/>
        <v>0</v>
      </c>
      <c r="Q163" s="203">
        <v>0</v>
      </c>
      <c r="R163" s="204">
        <f t="shared" si="56"/>
        <v>-368.12682710991959</v>
      </c>
    </row>
    <row r="164" spans="1:19" x14ac:dyDescent="0.2">
      <c r="A164" s="125">
        <v>1</v>
      </c>
      <c r="B164" s="196">
        <f t="shared" si="49"/>
        <v>44562</v>
      </c>
      <c r="C164" s="213">
        <f t="shared" si="57"/>
        <v>44595</v>
      </c>
      <c r="D164" s="213">
        <f t="shared" si="57"/>
        <v>44615</v>
      </c>
      <c r="E164" s="223" t="s">
        <v>56</v>
      </c>
      <c r="F164" s="125">
        <v>9</v>
      </c>
      <c r="G164" s="198">
        <v>8</v>
      </c>
      <c r="H164" s="199">
        <f t="shared" si="50"/>
        <v>7.2418230508197396</v>
      </c>
      <c r="I164" s="199">
        <f t="shared" si="48"/>
        <v>4.7305566459474955</v>
      </c>
      <c r="J164" s="200">
        <f t="shared" si="51"/>
        <v>37.844453167579964</v>
      </c>
      <c r="K164" s="201">
        <f t="shared" si="45"/>
        <v>57.934584406557917</v>
      </c>
      <c r="L164" s="202">
        <f t="shared" si="58"/>
        <v>-20.090131238977953</v>
      </c>
      <c r="M164" s="203">
        <f t="shared" si="52"/>
        <v>-1.0970242781397226</v>
      </c>
      <c r="N164" s="204">
        <f t="shared" si="53"/>
        <v>-21.187155517117677</v>
      </c>
      <c r="O164" s="203">
        <f t="shared" si="54"/>
        <v>0</v>
      </c>
      <c r="P164" s="203">
        <f t="shared" si="55"/>
        <v>0</v>
      </c>
      <c r="Q164" s="203">
        <v>0</v>
      </c>
      <c r="R164" s="204">
        <f t="shared" si="56"/>
        <v>-21.187155517117677</v>
      </c>
    </row>
    <row r="165" spans="1:19" x14ac:dyDescent="0.2">
      <c r="A165" s="161">
        <v>2</v>
      </c>
      <c r="B165" s="196">
        <f t="shared" si="49"/>
        <v>44593</v>
      </c>
      <c r="C165" s="216">
        <f t="shared" si="57"/>
        <v>44623</v>
      </c>
      <c r="D165" s="216">
        <f t="shared" si="57"/>
        <v>44642</v>
      </c>
      <c r="E165" s="224" t="s">
        <v>56</v>
      </c>
      <c r="F165" s="161">
        <v>9</v>
      </c>
      <c r="G165" s="198">
        <v>11</v>
      </c>
      <c r="H165" s="199">
        <f t="shared" si="50"/>
        <v>7.2418230508197396</v>
      </c>
      <c r="I165" s="199">
        <f t="shared" si="48"/>
        <v>4.7305566459474955</v>
      </c>
      <c r="J165" s="200">
        <f t="shared" si="51"/>
        <v>52.036123105422448</v>
      </c>
      <c r="K165" s="201">
        <f t="shared" si="45"/>
        <v>79.660053559017143</v>
      </c>
      <c r="L165" s="202">
        <f t="shared" si="58"/>
        <v>-27.623930453594696</v>
      </c>
      <c r="M165" s="203">
        <f t="shared" si="52"/>
        <v>-1.5084083824421184</v>
      </c>
      <c r="N165" s="204">
        <f t="shared" si="53"/>
        <v>-29.132338836036816</v>
      </c>
      <c r="O165" s="203">
        <f t="shared" si="54"/>
        <v>0</v>
      </c>
      <c r="P165" s="203">
        <f t="shared" si="55"/>
        <v>0</v>
      </c>
      <c r="Q165" s="203">
        <v>0</v>
      </c>
      <c r="R165" s="204">
        <f t="shared" si="56"/>
        <v>-29.132338836036816</v>
      </c>
    </row>
    <row r="166" spans="1:19" x14ac:dyDescent="0.2">
      <c r="A166" s="161">
        <v>3</v>
      </c>
      <c r="B166" s="196">
        <f t="shared" si="49"/>
        <v>44621</v>
      </c>
      <c r="C166" s="216">
        <f t="shared" si="57"/>
        <v>44656</v>
      </c>
      <c r="D166" s="216">
        <f t="shared" si="57"/>
        <v>44676</v>
      </c>
      <c r="E166" s="224" t="s">
        <v>56</v>
      </c>
      <c r="F166" s="161">
        <v>9</v>
      </c>
      <c r="G166" s="198">
        <v>9</v>
      </c>
      <c r="H166" s="199">
        <f t="shared" si="50"/>
        <v>7.2418230508197396</v>
      </c>
      <c r="I166" s="199">
        <f t="shared" si="48"/>
        <v>4.7305566459474955</v>
      </c>
      <c r="J166" s="200">
        <f t="shared" si="51"/>
        <v>42.575009813527458</v>
      </c>
      <c r="K166" s="201">
        <f t="shared" si="45"/>
        <v>65.17640745737765</v>
      </c>
      <c r="L166" s="202">
        <f>+J166-K166</f>
        <v>-22.601397643850191</v>
      </c>
      <c r="M166" s="203">
        <f t="shared" si="52"/>
        <v>-1.2341523129071879</v>
      </c>
      <c r="N166" s="204">
        <f t="shared" si="53"/>
        <v>-23.835549956757379</v>
      </c>
      <c r="O166" s="203">
        <f t="shared" si="54"/>
        <v>0</v>
      </c>
      <c r="P166" s="203">
        <f t="shared" si="55"/>
        <v>0</v>
      </c>
      <c r="Q166" s="203">
        <v>0</v>
      </c>
      <c r="R166" s="204">
        <f t="shared" si="56"/>
        <v>-23.835549956757379</v>
      </c>
    </row>
    <row r="167" spans="1:19" x14ac:dyDescent="0.2">
      <c r="A167" s="125">
        <v>4</v>
      </c>
      <c r="B167" s="196">
        <f t="shared" si="49"/>
        <v>44652</v>
      </c>
      <c r="C167" s="216">
        <f t="shared" si="57"/>
        <v>44685</v>
      </c>
      <c r="D167" s="216">
        <f t="shared" si="57"/>
        <v>44705</v>
      </c>
      <c r="E167" s="224" t="s">
        <v>56</v>
      </c>
      <c r="F167" s="161">
        <v>9</v>
      </c>
      <c r="G167" s="198">
        <v>11</v>
      </c>
      <c r="H167" s="199">
        <f t="shared" si="50"/>
        <v>7.2418230508197396</v>
      </c>
      <c r="I167" s="199">
        <f t="shared" si="48"/>
        <v>4.7305566459474955</v>
      </c>
      <c r="J167" s="200">
        <f t="shared" si="51"/>
        <v>52.036123105422448</v>
      </c>
      <c r="K167" s="201">
        <f t="shared" si="45"/>
        <v>79.660053559017143</v>
      </c>
      <c r="L167" s="202">
        <f t="shared" ref="L167:L177" si="59">+J167-K167</f>
        <v>-27.623930453594696</v>
      </c>
      <c r="M167" s="203">
        <f t="shared" si="52"/>
        <v>-1.5084083824421184</v>
      </c>
      <c r="N167" s="204">
        <f t="shared" si="53"/>
        <v>-29.132338836036816</v>
      </c>
      <c r="O167" s="203">
        <f t="shared" si="54"/>
        <v>0</v>
      </c>
      <c r="P167" s="203">
        <f t="shared" si="55"/>
        <v>0</v>
      </c>
      <c r="Q167" s="203">
        <v>0</v>
      </c>
      <c r="R167" s="204">
        <f t="shared" si="56"/>
        <v>-29.132338836036816</v>
      </c>
    </row>
    <row r="168" spans="1:19" x14ac:dyDescent="0.2">
      <c r="A168" s="161">
        <v>5</v>
      </c>
      <c r="B168" s="196">
        <f t="shared" si="49"/>
        <v>44682</v>
      </c>
      <c r="C168" s="216">
        <f t="shared" si="57"/>
        <v>44715</v>
      </c>
      <c r="D168" s="216">
        <f t="shared" si="57"/>
        <v>44735</v>
      </c>
      <c r="E168" s="224" t="s">
        <v>56</v>
      </c>
      <c r="F168" s="161">
        <v>9</v>
      </c>
      <c r="G168" s="198">
        <v>11</v>
      </c>
      <c r="H168" s="199">
        <f t="shared" si="50"/>
        <v>7.2418230508197396</v>
      </c>
      <c r="I168" s="199">
        <f t="shared" si="48"/>
        <v>4.7305566459474955</v>
      </c>
      <c r="J168" s="200">
        <f t="shared" si="51"/>
        <v>52.036123105422448</v>
      </c>
      <c r="K168" s="201">
        <f t="shared" si="45"/>
        <v>79.660053559017143</v>
      </c>
      <c r="L168" s="202">
        <f t="shared" si="59"/>
        <v>-27.623930453594696</v>
      </c>
      <c r="M168" s="203">
        <f t="shared" si="52"/>
        <v>-1.5084083824421184</v>
      </c>
      <c r="N168" s="204">
        <f t="shared" si="53"/>
        <v>-29.132338836036816</v>
      </c>
      <c r="O168" s="203">
        <f t="shared" si="54"/>
        <v>0</v>
      </c>
      <c r="P168" s="203">
        <f t="shared" si="55"/>
        <v>0</v>
      </c>
      <c r="Q168" s="203">
        <v>0</v>
      </c>
      <c r="R168" s="204">
        <f t="shared" si="56"/>
        <v>-29.132338836036816</v>
      </c>
    </row>
    <row r="169" spans="1:19" x14ac:dyDescent="0.2">
      <c r="A169" s="161">
        <v>6</v>
      </c>
      <c r="B169" s="196">
        <f t="shared" si="49"/>
        <v>44713</v>
      </c>
      <c r="C169" s="216">
        <f t="shared" si="57"/>
        <v>44747</v>
      </c>
      <c r="D169" s="216">
        <f t="shared" si="57"/>
        <v>44767</v>
      </c>
      <c r="E169" s="224" t="s">
        <v>56</v>
      </c>
      <c r="F169" s="161">
        <v>9</v>
      </c>
      <c r="G169" s="198">
        <v>14</v>
      </c>
      <c r="H169" s="199">
        <f t="shared" si="50"/>
        <v>7.2418230508197396</v>
      </c>
      <c r="I169" s="199">
        <f t="shared" si="48"/>
        <v>4.7305566459474955</v>
      </c>
      <c r="J169" s="200">
        <f t="shared" si="51"/>
        <v>66.227793043264938</v>
      </c>
      <c r="K169" s="201">
        <f t="shared" si="45"/>
        <v>101.38552271147636</v>
      </c>
      <c r="L169" s="206">
        <f t="shared" si="59"/>
        <v>-35.157729668211417</v>
      </c>
      <c r="M169" s="203">
        <f t="shared" si="52"/>
        <v>-1.9197924867445142</v>
      </c>
      <c r="N169" s="204">
        <f t="shared" si="53"/>
        <v>-37.077522154955929</v>
      </c>
      <c r="O169" s="203">
        <f t="shared" si="54"/>
        <v>0</v>
      </c>
      <c r="P169" s="203">
        <f t="shared" si="55"/>
        <v>0</v>
      </c>
      <c r="Q169" s="203">
        <v>0</v>
      </c>
      <c r="R169" s="204">
        <f t="shared" si="56"/>
        <v>-37.077522154955929</v>
      </c>
    </row>
    <row r="170" spans="1:19" x14ac:dyDescent="0.2">
      <c r="A170" s="125">
        <v>7</v>
      </c>
      <c r="B170" s="196">
        <f t="shared" si="49"/>
        <v>44743</v>
      </c>
      <c r="C170" s="216">
        <f t="shared" si="57"/>
        <v>44776</v>
      </c>
      <c r="D170" s="216">
        <f t="shared" si="57"/>
        <v>44796</v>
      </c>
      <c r="E170" s="224" t="s">
        <v>56</v>
      </c>
      <c r="F170" s="161">
        <v>9</v>
      </c>
      <c r="G170" s="198">
        <v>13</v>
      </c>
      <c r="H170" s="199">
        <f t="shared" si="50"/>
        <v>7.2418230508197396</v>
      </c>
      <c r="I170" s="199">
        <f t="shared" si="48"/>
        <v>4.7305566459474955</v>
      </c>
      <c r="J170" s="200">
        <f t="shared" si="51"/>
        <v>61.497236397317444</v>
      </c>
      <c r="K170" s="207">
        <f t="shared" si="45"/>
        <v>94.143699660656608</v>
      </c>
      <c r="L170" s="206">
        <f t="shared" si="59"/>
        <v>-32.646463263339164</v>
      </c>
      <c r="M170" s="203">
        <f t="shared" si="52"/>
        <v>-1.7826644519770489</v>
      </c>
      <c r="N170" s="204">
        <f t="shared" si="53"/>
        <v>-34.429127715316213</v>
      </c>
      <c r="O170" s="203">
        <f t="shared" si="54"/>
        <v>0</v>
      </c>
      <c r="P170" s="203">
        <f t="shared" si="55"/>
        <v>0</v>
      </c>
      <c r="Q170" s="203">
        <v>0</v>
      </c>
      <c r="R170" s="204">
        <f t="shared" si="56"/>
        <v>-34.429127715316213</v>
      </c>
    </row>
    <row r="171" spans="1:19" x14ac:dyDescent="0.2">
      <c r="A171" s="161">
        <v>8</v>
      </c>
      <c r="B171" s="196">
        <f t="shared" si="49"/>
        <v>44774</v>
      </c>
      <c r="C171" s="216">
        <f t="shared" si="57"/>
        <v>44809</v>
      </c>
      <c r="D171" s="216">
        <f t="shared" si="57"/>
        <v>44827</v>
      </c>
      <c r="E171" s="224" t="s">
        <v>56</v>
      </c>
      <c r="F171" s="125">
        <v>9</v>
      </c>
      <c r="G171" s="198">
        <v>13</v>
      </c>
      <c r="H171" s="199">
        <f t="shared" si="50"/>
        <v>7.2418230508197396</v>
      </c>
      <c r="I171" s="199">
        <f t="shared" si="48"/>
        <v>4.7305566459474955</v>
      </c>
      <c r="J171" s="200">
        <f t="shared" si="51"/>
        <v>61.497236397317444</v>
      </c>
      <c r="K171" s="207">
        <f t="shared" si="45"/>
        <v>94.143699660656608</v>
      </c>
      <c r="L171" s="206">
        <f t="shared" si="59"/>
        <v>-32.646463263339164</v>
      </c>
      <c r="M171" s="203">
        <f t="shared" si="52"/>
        <v>-1.7826644519770489</v>
      </c>
      <c r="N171" s="204">
        <f t="shared" si="53"/>
        <v>-34.429127715316213</v>
      </c>
      <c r="O171" s="203">
        <f t="shared" si="54"/>
        <v>0</v>
      </c>
      <c r="P171" s="203">
        <f t="shared" si="55"/>
        <v>0</v>
      </c>
      <c r="Q171" s="203">
        <v>0</v>
      </c>
      <c r="R171" s="204">
        <f t="shared" si="56"/>
        <v>-34.429127715316213</v>
      </c>
      <c r="S171" s="52"/>
    </row>
    <row r="172" spans="1:19" x14ac:dyDescent="0.2">
      <c r="A172" s="161">
        <v>9</v>
      </c>
      <c r="B172" s="196">
        <f t="shared" si="49"/>
        <v>44805</v>
      </c>
      <c r="C172" s="216">
        <f t="shared" ref="C172:D175" si="60">+C160</f>
        <v>44839</v>
      </c>
      <c r="D172" s="216">
        <f t="shared" si="60"/>
        <v>44859</v>
      </c>
      <c r="E172" s="224" t="s">
        <v>56</v>
      </c>
      <c r="F172" s="125">
        <v>9</v>
      </c>
      <c r="G172" s="198">
        <v>13</v>
      </c>
      <c r="H172" s="199">
        <f t="shared" si="50"/>
        <v>7.2418230508197396</v>
      </c>
      <c r="I172" s="199">
        <f t="shared" si="48"/>
        <v>4.7305566459474955</v>
      </c>
      <c r="J172" s="200">
        <f t="shared" si="51"/>
        <v>61.497236397317444</v>
      </c>
      <c r="K172" s="207">
        <f t="shared" si="45"/>
        <v>94.143699660656608</v>
      </c>
      <c r="L172" s="206">
        <f t="shared" si="59"/>
        <v>-32.646463263339164</v>
      </c>
      <c r="M172" s="203">
        <f t="shared" si="52"/>
        <v>-1.7826644519770489</v>
      </c>
      <c r="N172" s="204">
        <f t="shared" si="53"/>
        <v>-34.429127715316213</v>
      </c>
      <c r="O172" s="203">
        <f t="shared" si="54"/>
        <v>0</v>
      </c>
      <c r="P172" s="203">
        <f t="shared" si="55"/>
        <v>0</v>
      </c>
      <c r="Q172" s="203">
        <v>0</v>
      </c>
      <c r="R172" s="204">
        <f t="shared" si="56"/>
        <v>-34.429127715316213</v>
      </c>
    </row>
    <row r="173" spans="1:19" x14ac:dyDescent="0.2">
      <c r="A173" s="125">
        <v>10</v>
      </c>
      <c r="B173" s="196">
        <f t="shared" si="49"/>
        <v>44835</v>
      </c>
      <c r="C173" s="216">
        <f t="shared" si="60"/>
        <v>44868</v>
      </c>
      <c r="D173" s="216">
        <f t="shared" si="60"/>
        <v>44888</v>
      </c>
      <c r="E173" s="224" t="s">
        <v>56</v>
      </c>
      <c r="F173" s="125">
        <v>9</v>
      </c>
      <c r="G173" s="198">
        <v>10</v>
      </c>
      <c r="H173" s="199">
        <f t="shared" si="50"/>
        <v>7.2418230508197396</v>
      </c>
      <c r="I173" s="199">
        <f t="shared" si="48"/>
        <v>4.7305566459474955</v>
      </c>
      <c r="J173" s="200">
        <f t="shared" si="51"/>
        <v>47.305566459474953</v>
      </c>
      <c r="K173" s="207">
        <f t="shared" si="45"/>
        <v>72.418230508197396</v>
      </c>
      <c r="L173" s="206">
        <f t="shared" si="59"/>
        <v>-25.112664048722444</v>
      </c>
      <c r="M173" s="203">
        <f t="shared" si="52"/>
        <v>-1.3712803476746531</v>
      </c>
      <c r="N173" s="204">
        <f t="shared" si="53"/>
        <v>-26.483944396397096</v>
      </c>
      <c r="O173" s="203">
        <f t="shared" si="54"/>
        <v>0</v>
      </c>
      <c r="P173" s="203">
        <f t="shared" si="55"/>
        <v>0</v>
      </c>
      <c r="Q173" s="203">
        <v>0</v>
      </c>
      <c r="R173" s="204">
        <f t="shared" si="56"/>
        <v>-26.483944396397096</v>
      </c>
    </row>
    <row r="174" spans="1:19" x14ac:dyDescent="0.2">
      <c r="A174" s="161">
        <v>11</v>
      </c>
      <c r="B174" s="196">
        <f t="shared" si="49"/>
        <v>44866</v>
      </c>
      <c r="C174" s="216">
        <f t="shared" si="60"/>
        <v>44900</v>
      </c>
      <c r="D174" s="216">
        <f t="shared" si="60"/>
        <v>44918</v>
      </c>
      <c r="E174" s="224" t="s">
        <v>56</v>
      </c>
      <c r="F174" s="125">
        <v>9</v>
      </c>
      <c r="G174" s="198">
        <v>9</v>
      </c>
      <c r="H174" s="199">
        <f t="shared" si="50"/>
        <v>7.2418230508197396</v>
      </c>
      <c r="I174" s="199">
        <f t="shared" si="48"/>
        <v>4.7305566459474955</v>
      </c>
      <c r="J174" s="200">
        <f t="shared" si="51"/>
        <v>42.575009813527458</v>
      </c>
      <c r="K174" s="207">
        <f t="shared" si="45"/>
        <v>65.17640745737765</v>
      </c>
      <c r="L174" s="206">
        <f t="shared" si="59"/>
        <v>-22.601397643850191</v>
      </c>
      <c r="M174" s="203">
        <f t="shared" si="52"/>
        <v>-1.2341523129071879</v>
      </c>
      <c r="N174" s="204">
        <f t="shared" si="53"/>
        <v>-23.835549956757379</v>
      </c>
      <c r="O174" s="203">
        <f t="shared" si="54"/>
        <v>0</v>
      </c>
      <c r="P174" s="203">
        <f t="shared" si="55"/>
        <v>0</v>
      </c>
      <c r="Q174" s="203">
        <v>0</v>
      </c>
      <c r="R174" s="204">
        <f t="shared" si="56"/>
        <v>-23.835549956757379</v>
      </c>
    </row>
    <row r="175" spans="1:19" s="220" customFormat="1" x14ac:dyDescent="0.2">
      <c r="A175" s="161">
        <v>12</v>
      </c>
      <c r="B175" s="218">
        <f t="shared" si="49"/>
        <v>44896</v>
      </c>
      <c r="C175" s="216">
        <f t="shared" si="60"/>
        <v>44930</v>
      </c>
      <c r="D175" s="216">
        <f t="shared" si="60"/>
        <v>44950</v>
      </c>
      <c r="E175" s="225" t="s">
        <v>56</v>
      </c>
      <c r="F175" s="172">
        <v>9</v>
      </c>
      <c r="G175" s="198">
        <v>9</v>
      </c>
      <c r="H175" s="208">
        <f t="shared" si="50"/>
        <v>7.2418230508197396</v>
      </c>
      <c r="I175" s="208">
        <f t="shared" si="48"/>
        <v>4.7305566459474955</v>
      </c>
      <c r="J175" s="209">
        <f t="shared" si="51"/>
        <v>42.575009813527458</v>
      </c>
      <c r="K175" s="210">
        <f t="shared" si="45"/>
        <v>65.17640745737765</v>
      </c>
      <c r="L175" s="211">
        <f t="shared" si="59"/>
        <v>-22.601397643850191</v>
      </c>
      <c r="M175" s="203">
        <f t="shared" si="52"/>
        <v>-1.2341523129071879</v>
      </c>
      <c r="N175" s="204">
        <f t="shared" si="53"/>
        <v>-23.835549956757379</v>
      </c>
      <c r="O175" s="203">
        <f t="shared" si="54"/>
        <v>0</v>
      </c>
      <c r="P175" s="203">
        <f t="shared" si="55"/>
        <v>0</v>
      </c>
      <c r="Q175" s="203">
        <v>0</v>
      </c>
      <c r="R175" s="204">
        <f t="shared" si="56"/>
        <v>-23.835549956757379</v>
      </c>
    </row>
    <row r="176" spans="1:19" x14ac:dyDescent="0.2">
      <c r="A176" s="125">
        <v>1</v>
      </c>
      <c r="B176" s="196">
        <f t="shared" si="49"/>
        <v>44562</v>
      </c>
      <c r="C176" s="213">
        <f t="shared" ref="C176:D187" si="61">+C152</f>
        <v>44595</v>
      </c>
      <c r="D176" s="213">
        <f t="shared" si="61"/>
        <v>44615</v>
      </c>
      <c r="E176" s="223" t="s">
        <v>57</v>
      </c>
      <c r="F176" s="161">
        <v>9</v>
      </c>
      <c r="G176" s="198">
        <v>22</v>
      </c>
      <c r="H176" s="199">
        <f t="shared" si="50"/>
        <v>7.2418230508197396</v>
      </c>
      <c r="I176" s="199">
        <f t="shared" si="48"/>
        <v>4.7305566459474955</v>
      </c>
      <c r="J176" s="200">
        <f t="shared" si="51"/>
        <v>104.0722462108449</v>
      </c>
      <c r="K176" s="201">
        <f t="shared" si="45"/>
        <v>159.32010711803429</v>
      </c>
      <c r="L176" s="202">
        <f t="shared" si="59"/>
        <v>-55.247860907189391</v>
      </c>
      <c r="M176" s="203">
        <f t="shared" si="52"/>
        <v>-3.0168167648842368</v>
      </c>
      <c r="N176" s="204">
        <f t="shared" si="53"/>
        <v>-58.264677672073631</v>
      </c>
      <c r="O176" s="203">
        <f t="shared" si="54"/>
        <v>0</v>
      </c>
      <c r="P176" s="203">
        <f t="shared" si="55"/>
        <v>0</v>
      </c>
      <c r="Q176" s="203">
        <v>0</v>
      </c>
      <c r="R176" s="204">
        <f t="shared" si="56"/>
        <v>-58.264677672073631</v>
      </c>
    </row>
    <row r="177" spans="1:18" x14ac:dyDescent="0.2">
      <c r="A177" s="161">
        <v>2</v>
      </c>
      <c r="B177" s="196">
        <f t="shared" si="49"/>
        <v>44593</v>
      </c>
      <c r="C177" s="216">
        <f t="shared" si="61"/>
        <v>44623</v>
      </c>
      <c r="D177" s="216">
        <f t="shared" si="61"/>
        <v>44642</v>
      </c>
      <c r="E177" s="54" t="s">
        <v>57</v>
      </c>
      <c r="F177" s="161">
        <v>9</v>
      </c>
      <c r="G177" s="198">
        <v>22</v>
      </c>
      <c r="H177" s="199">
        <f t="shared" si="50"/>
        <v>7.2418230508197396</v>
      </c>
      <c r="I177" s="199">
        <f t="shared" si="48"/>
        <v>4.7305566459474955</v>
      </c>
      <c r="J177" s="200">
        <f t="shared" si="51"/>
        <v>104.0722462108449</v>
      </c>
      <c r="K177" s="201">
        <f t="shared" si="45"/>
        <v>159.32010711803429</v>
      </c>
      <c r="L177" s="202">
        <f t="shared" si="59"/>
        <v>-55.247860907189391</v>
      </c>
      <c r="M177" s="203">
        <f t="shared" si="52"/>
        <v>-3.0168167648842368</v>
      </c>
      <c r="N177" s="204">
        <f t="shared" si="53"/>
        <v>-58.264677672073631</v>
      </c>
      <c r="O177" s="203">
        <f t="shared" si="54"/>
        <v>0</v>
      </c>
      <c r="P177" s="203">
        <f t="shared" si="55"/>
        <v>0</v>
      </c>
      <c r="Q177" s="203">
        <v>0</v>
      </c>
      <c r="R177" s="204">
        <f t="shared" si="56"/>
        <v>-58.264677672073631</v>
      </c>
    </row>
    <row r="178" spans="1:18" x14ac:dyDescent="0.2">
      <c r="A178" s="161">
        <v>3</v>
      </c>
      <c r="B178" s="196">
        <f t="shared" si="49"/>
        <v>44621</v>
      </c>
      <c r="C178" s="216">
        <f t="shared" si="61"/>
        <v>44656</v>
      </c>
      <c r="D178" s="216">
        <f t="shared" si="61"/>
        <v>44676</v>
      </c>
      <c r="E178" s="54" t="s">
        <v>57</v>
      </c>
      <c r="F178" s="161">
        <v>9</v>
      </c>
      <c r="G178" s="198">
        <v>18</v>
      </c>
      <c r="H178" s="199">
        <f t="shared" si="50"/>
        <v>7.2418230508197396</v>
      </c>
      <c r="I178" s="199">
        <f t="shared" si="48"/>
        <v>4.7305566459474955</v>
      </c>
      <c r="J178" s="200">
        <f t="shared" si="51"/>
        <v>85.150019627054917</v>
      </c>
      <c r="K178" s="201">
        <f t="shared" si="45"/>
        <v>130.3528149147553</v>
      </c>
      <c r="L178" s="202">
        <f>+J178-K178</f>
        <v>-45.202795287700383</v>
      </c>
      <c r="M178" s="203">
        <f t="shared" si="52"/>
        <v>-2.4683046258143757</v>
      </c>
      <c r="N178" s="204">
        <f t="shared" si="53"/>
        <v>-47.671099913514759</v>
      </c>
      <c r="O178" s="203">
        <f t="shared" si="54"/>
        <v>0</v>
      </c>
      <c r="P178" s="203">
        <f t="shared" si="55"/>
        <v>0</v>
      </c>
      <c r="Q178" s="203">
        <v>0</v>
      </c>
      <c r="R178" s="204">
        <f t="shared" si="56"/>
        <v>-47.671099913514759</v>
      </c>
    </row>
    <row r="179" spans="1:18" x14ac:dyDescent="0.2">
      <c r="A179" s="125">
        <v>4</v>
      </c>
      <c r="B179" s="196">
        <f t="shared" si="49"/>
        <v>44652</v>
      </c>
      <c r="C179" s="216">
        <f t="shared" si="61"/>
        <v>44685</v>
      </c>
      <c r="D179" s="216">
        <f t="shared" si="61"/>
        <v>44705</v>
      </c>
      <c r="E179" s="54" t="s">
        <v>57</v>
      </c>
      <c r="F179" s="161">
        <v>9</v>
      </c>
      <c r="G179" s="198">
        <v>21</v>
      </c>
      <c r="H179" s="199">
        <f t="shared" si="50"/>
        <v>7.2418230508197396</v>
      </c>
      <c r="I179" s="199">
        <f t="shared" si="48"/>
        <v>4.7305566459474955</v>
      </c>
      <c r="J179" s="200">
        <f t="shared" si="51"/>
        <v>99.341689564897408</v>
      </c>
      <c r="K179" s="201">
        <f t="shared" si="45"/>
        <v>152.07828406721453</v>
      </c>
      <c r="L179" s="202">
        <f t="shared" ref="L179:L189" si="62">+J179-K179</f>
        <v>-52.736594502317118</v>
      </c>
      <c r="M179" s="203">
        <f t="shared" si="52"/>
        <v>-2.8796887301167717</v>
      </c>
      <c r="N179" s="204">
        <f t="shared" si="53"/>
        <v>-55.616283232433886</v>
      </c>
      <c r="O179" s="203">
        <f t="shared" si="54"/>
        <v>0</v>
      </c>
      <c r="P179" s="203">
        <f t="shared" si="55"/>
        <v>0</v>
      </c>
      <c r="Q179" s="203">
        <v>0</v>
      </c>
      <c r="R179" s="204">
        <f t="shared" si="56"/>
        <v>-55.616283232433886</v>
      </c>
    </row>
    <row r="180" spans="1:18" x14ac:dyDescent="0.2">
      <c r="A180" s="161">
        <v>5</v>
      </c>
      <c r="B180" s="196">
        <f t="shared" si="49"/>
        <v>44682</v>
      </c>
      <c r="C180" s="216">
        <f t="shared" si="61"/>
        <v>44715</v>
      </c>
      <c r="D180" s="216">
        <f t="shared" si="61"/>
        <v>44735</v>
      </c>
      <c r="E180" s="54" t="s">
        <v>57</v>
      </c>
      <c r="F180" s="161">
        <v>9</v>
      </c>
      <c r="G180" s="198">
        <v>31</v>
      </c>
      <c r="H180" s="199">
        <f t="shared" si="50"/>
        <v>7.2418230508197396</v>
      </c>
      <c r="I180" s="199">
        <f t="shared" ref="I180:I211" si="63">$J$3</f>
        <v>4.7305566459474955</v>
      </c>
      <c r="J180" s="200">
        <f t="shared" si="51"/>
        <v>146.64725602437235</v>
      </c>
      <c r="K180" s="201">
        <f t="shared" si="45"/>
        <v>224.49651457541194</v>
      </c>
      <c r="L180" s="202">
        <f t="shared" si="62"/>
        <v>-77.849258551039583</v>
      </c>
      <c r="M180" s="203">
        <f t="shared" si="52"/>
        <v>-4.2509690777914244</v>
      </c>
      <c r="N180" s="204">
        <f t="shared" si="53"/>
        <v>-82.100227628831007</v>
      </c>
      <c r="O180" s="203">
        <f t="shared" si="54"/>
        <v>0</v>
      </c>
      <c r="P180" s="203">
        <f t="shared" si="55"/>
        <v>0</v>
      </c>
      <c r="Q180" s="203">
        <v>0</v>
      </c>
      <c r="R180" s="204">
        <f t="shared" si="56"/>
        <v>-82.100227628831007</v>
      </c>
    </row>
    <row r="181" spans="1:18" x14ac:dyDescent="0.2">
      <c r="A181" s="161">
        <v>6</v>
      </c>
      <c r="B181" s="196">
        <f t="shared" si="49"/>
        <v>44713</v>
      </c>
      <c r="C181" s="216">
        <f t="shared" si="61"/>
        <v>44747</v>
      </c>
      <c r="D181" s="216">
        <f t="shared" si="61"/>
        <v>44767</v>
      </c>
      <c r="E181" s="54" t="s">
        <v>57</v>
      </c>
      <c r="F181" s="161">
        <v>9</v>
      </c>
      <c r="G181" s="198">
        <v>38</v>
      </c>
      <c r="H181" s="199">
        <f t="shared" si="50"/>
        <v>7.2418230508197396</v>
      </c>
      <c r="I181" s="199">
        <f t="shared" si="63"/>
        <v>4.7305566459474955</v>
      </c>
      <c r="J181" s="200">
        <f t="shared" si="51"/>
        <v>179.76115254600484</v>
      </c>
      <c r="K181" s="201">
        <f t="shared" si="45"/>
        <v>275.18927593115012</v>
      </c>
      <c r="L181" s="206">
        <f t="shared" si="62"/>
        <v>-95.428123385145284</v>
      </c>
      <c r="M181" s="203">
        <f t="shared" si="52"/>
        <v>-5.2108653211636824</v>
      </c>
      <c r="N181" s="204">
        <f t="shared" si="53"/>
        <v>-100.63898870630896</v>
      </c>
      <c r="O181" s="203">
        <f t="shared" si="54"/>
        <v>0</v>
      </c>
      <c r="P181" s="203">
        <f t="shared" si="55"/>
        <v>0</v>
      </c>
      <c r="Q181" s="203">
        <v>0</v>
      </c>
      <c r="R181" s="204">
        <f t="shared" si="56"/>
        <v>-100.63898870630896</v>
      </c>
    </row>
    <row r="182" spans="1:18" x14ac:dyDescent="0.2">
      <c r="A182" s="125">
        <v>7</v>
      </c>
      <c r="B182" s="196">
        <f t="shared" si="49"/>
        <v>44743</v>
      </c>
      <c r="C182" s="216">
        <f t="shared" si="61"/>
        <v>44776</v>
      </c>
      <c r="D182" s="216">
        <f t="shared" si="61"/>
        <v>44796</v>
      </c>
      <c r="E182" s="54" t="s">
        <v>57</v>
      </c>
      <c r="F182" s="161">
        <v>9</v>
      </c>
      <c r="G182" s="198">
        <v>40</v>
      </c>
      <c r="H182" s="199">
        <f t="shared" si="50"/>
        <v>7.2418230508197396</v>
      </c>
      <c r="I182" s="199">
        <f t="shared" si="63"/>
        <v>4.7305566459474955</v>
      </c>
      <c r="J182" s="200">
        <f t="shared" si="51"/>
        <v>189.22226583789981</v>
      </c>
      <c r="K182" s="207">
        <f t="shared" si="45"/>
        <v>289.67292203278959</v>
      </c>
      <c r="L182" s="206">
        <f t="shared" si="62"/>
        <v>-100.45065619488977</v>
      </c>
      <c r="M182" s="203">
        <f t="shared" si="52"/>
        <v>-5.4851213906986125</v>
      </c>
      <c r="N182" s="204">
        <f t="shared" si="53"/>
        <v>-105.93577758558838</v>
      </c>
      <c r="O182" s="203">
        <f t="shared" si="54"/>
        <v>0</v>
      </c>
      <c r="P182" s="203">
        <f t="shared" si="55"/>
        <v>0</v>
      </c>
      <c r="Q182" s="203">
        <v>0</v>
      </c>
      <c r="R182" s="204">
        <f t="shared" si="56"/>
        <v>-105.93577758558838</v>
      </c>
    </row>
    <row r="183" spans="1:18" x14ac:dyDescent="0.2">
      <c r="A183" s="161">
        <v>8</v>
      </c>
      <c r="B183" s="196">
        <f t="shared" si="49"/>
        <v>44774</v>
      </c>
      <c r="C183" s="216">
        <f t="shared" si="61"/>
        <v>44809</v>
      </c>
      <c r="D183" s="216">
        <f t="shared" si="61"/>
        <v>44827</v>
      </c>
      <c r="E183" s="54" t="s">
        <v>57</v>
      </c>
      <c r="F183" s="161">
        <v>9</v>
      </c>
      <c r="G183" s="198">
        <v>38</v>
      </c>
      <c r="H183" s="199">
        <f t="shared" si="50"/>
        <v>7.2418230508197396</v>
      </c>
      <c r="I183" s="199">
        <f t="shared" si="63"/>
        <v>4.7305566459474955</v>
      </c>
      <c r="J183" s="200">
        <f t="shared" si="51"/>
        <v>179.76115254600484</v>
      </c>
      <c r="K183" s="207">
        <f t="shared" si="45"/>
        <v>275.18927593115012</v>
      </c>
      <c r="L183" s="206">
        <f t="shared" si="62"/>
        <v>-95.428123385145284</v>
      </c>
      <c r="M183" s="203">
        <f t="shared" si="52"/>
        <v>-5.2108653211636824</v>
      </c>
      <c r="N183" s="204">
        <f t="shared" si="53"/>
        <v>-100.63898870630896</v>
      </c>
      <c r="O183" s="203">
        <f t="shared" si="54"/>
        <v>0</v>
      </c>
      <c r="P183" s="203">
        <f t="shared" si="55"/>
        <v>0</v>
      </c>
      <c r="Q183" s="203">
        <v>0</v>
      </c>
      <c r="R183" s="204">
        <f t="shared" si="56"/>
        <v>-100.63898870630896</v>
      </c>
    </row>
    <row r="184" spans="1:18" x14ac:dyDescent="0.2">
      <c r="A184" s="161">
        <v>9</v>
      </c>
      <c r="B184" s="196">
        <f t="shared" si="49"/>
        <v>44805</v>
      </c>
      <c r="C184" s="216">
        <f t="shared" si="61"/>
        <v>44839</v>
      </c>
      <c r="D184" s="216">
        <f t="shared" si="61"/>
        <v>44859</v>
      </c>
      <c r="E184" s="54" t="s">
        <v>57</v>
      </c>
      <c r="F184" s="161">
        <v>9</v>
      </c>
      <c r="G184" s="198">
        <v>35</v>
      </c>
      <c r="H184" s="199">
        <f t="shared" si="50"/>
        <v>7.2418230508197396</v>
      </c>
      <c r="I184" s="199">
        <f t="shared" si="63"/>
        <v>4.7305566459474955</v>
      </c>
      <c r="J184" s="200">
        <f t="shared" si="51"/>
        <v>165.56948260816233</v>
      </c>
      <c r="K184" s="207">
        <f t="shared" si="45"/>
        <v>253.46380677869089</v>
      </c>
      <c r="L184" s="206">
        <f t="shared" si="62"/>
        <v>-87.894324170528563</v>
      </c>
      <c r="M184" s="203">
        <f t="shared" si="52"/>
        <v>-4.7994812168612855</v>
      </c>
      <c r="N184" s="204">
        <f t="shared" si="53"/>
        <v>-92.693805387389844</v>
      </c>
      <c r="O184" s="203">
        <f t="shared" si="54"/>
        <v>0</v>
      </c>
      <c r="P184" s="203">
        <f t="shared" si="55"/>
        <v>0</v>
      </c>
      <c r="Q184" s="203">
        <v>0</v>
      </c>
      <c r="R184" s="204">
        <f t="shared" si="56"/>
        <v>-92.693805387389844</v>
      </c>
    </row>
    <row r="185" spans="1:18" x14ac:dyDescent="0.2">
      <c r="A185" s="125">
        <v>10</v>
      </c>
      <c r="B185" s="196">
        <f t="shared" si="49"/>
        <v>44835</v>
      </c>
      <c r="C185" s="216">
        <f t="shared" si="61"/>
        <v>44868</v>
      </c>
      <c r="D185" s="216">
        <f t="shared" si="61"/>
        <v>44888</v>
      </c>
      <c r="E185" s="54" t="s">
        <v>57</v>
      </c>
      <c r="F185" s="161">
        <v>9</v>
      </c>
      <c r="G185" s="198">
        <v>23</v>
      </c>
      <c r="H185" s="199">
        <f t="shared" si="50"/>
        <v>7.2418230508197396</v>
      </c>
      <c r="I185" s="199">
        <f t="shared" si="63"/>
        <v>4.7305566459474955</v>
      </c>
      <c r="J185" s="200">
        <f t="shared" si="51"/>
        <v>108.8028028567924</v>
      </c>
      <c r="K185" s="207">
        <f t="shared" si="45"/>
        <v>166.56193016885402</v>
      </c>
      <c r="L185" s="206">
        <f t="shared" si="62"/>
        <v>-57.759127312061622</v>
      </c>
      <c r="M185" s="203">
        <f t="shared" si="52"/>
        <v>-3.1539447996517023</v>
      </c>
      <c r="N185" s="204">
        <f t="shared" si="53"/>
        <v>-60.913072111713326</v>
      </c>
      <c r="O185" s="203">
        <f t="shared" si="54"/>
        <v>0</v>
      </c>
      <c r="P185" s="203">
        <f t="shared" si="55"/>
        <v>0</v>
      </c>
      <c r="Q185" s="203">
        <v>0</v>
      </c>
      <c r="R185" s="204">
        <f t="shared" si="56"/>
        <v>-60.913072111713326</v>
      </c>
    </row>
    <row r="186" spans="1:18" x14ac:dyDescent="0.2">
      <c r="A186" s="161">
        <v>11</v>
      </c>
      <c r="B186" s="196">
        <f t="shared" si="49"/>
        <v>44866</v>
      </c>
      <c r="C186" s="216">
        <f t="shared" si="61"/>
        <v>44900</v>
      </c>
      <c r="D186" s="216">
        <f t="shared" si="61"/>
        <v>44918</v>
      </c>
      <c r="E186" s="54" t="s">
        <v>57</v>
      </c>
      <c r="F186" s="161">
        <v>9</v>
      </c>
      <c r="G186" s="198">
        <v>18</v>
      </c>
      <c r="H186" s="199">
        <f t="shared" si="50"/>
        <v>7.2418230508197396</v>
      </c>
      <c r="I186" s="199">
        <f t="shared" si="63"/>
        <v>4.7305566459474955</v>
      </c>
      <c r="J186" s="200">
        <f t="shared" si="51"/>
        <v>85.150019627054917</v>
      </c>
      <c r="K186" s="207">
        <f t="shared" si="45"/>
        <v>130.3528149147553</v>
      </c>
      <c r="L186" s="206">
        <f t="shared" si="62"/>
        <v>-45.202795287700383</v>
      </c>
      <c r="M186" s="203">
        <f t="shared" si="52"/>
        <v>-2.4683046258143757</v>
      </c>
      <c r="N186" s="204">
        <f t="shared" si="53"/>
        <v>-47.671099913514759</v>
      </c>
      <c r="O186" s="203">
        <f t="shared" si="54"/>
        <v>0</v>
      </c>
      <c r="P186" s="203">
        <f t="shared" si="55"/>
        <v>0</v>
      </c>
      <c r="Q186" s="203">
        <v>0</v>
      </c>
      <c r="R186" s="204">
        <f t="shared" si="56"/>
        <v>-47.671099913514759</v>
      </c>
    </row>
    <row r="187" spans="1:18" s="220" customFormat="1" x14ac:dyDescent="0.2">
      <c r="A187" s="161">
        <v>12</v>
      </c>
      <c r="B187" s="218">
        <f t="shared" si="49"/>
        <v>44896</v>
      </c>
      <c r="C187" s="216">
        <f t="shared" si="61"/>
        <v>44930</v>
      </c>
      <c r="D187" s="216">
        <f t="shared" si="61"/>
        <v>44950</v>
      </c>
      <c r="E187" s="219" t="s">
        <v>57</v>
      </c>
      <c r="F187" s="172">
        <v>9</v>
      </c>
      <c r="G187" s="198">
        <v>27</v>
      </c>
      <c r="H187" s="208">
        <f t="shared" si="50"/>
        <v>7.2418230508197396</v>
      </c>
      <c r="I187" s="208">
        <f t="shared" si="63"/>
        <v>4.7305566459474955</v>
      </c>
      <c r="J187" s="209">
        <f t="shared" si="51"/>
        <v>127.72502944058238</v>
      </c>
      <c r="K187" s="210">
        <f t="shared" si="45"/>
        <v>195.52922237213298</v>
      </c>
      <c r="L187" s="211">
        <f t="shared" si="62"/>
        <v>-67.804192931550602</v>
      </c>
      <c r="M187" s="203">
        <f t="shared" si="52"/>
        <v>-3.7024569387215638</v>
      </c>
      <c r="N187" s="204">
        <f t="shared" si="53"/>
        <v>-71.50664987027217</v>
      </c>
      <c r="O187" s="203">
        <f t="shared" si="54"/>
        <v>0</v>
      </c>
      <c r="P187" s="203">
        <f t="shared" si="55"/>
        <v>0</v>
      </c>
      <c r="Q187" s="203">
        <v>0</v>
      </c>
      <c r="R187" s="204">
        <f t="shared" si="56"/>
        <v>-71.50664987027217</v>
      </c>
    </row>
    <row r="188" spans="1:18" x14ac:dyDescent="0.2">
      <c r="A188" s="125">
        <v>1</v>
      </c>
      <c r="B188" s="196">
        <f t="shared" si="49"/>
        <v>44562</v>
      </c>
      <c r="C188" s="213">
        <f t="shared" ref="C188:D211" si="64">+C176</f>
        <v>44595</v>
      </c>
      <c r="D188" s="213">
        <f t="shared" si="64"/>
        <v>44615</v>
      </c>
      <c r="E188" s="197" t="s">
        <v>58</v>
      </c>
      <c r="F188" s="125">
        <v>9</v>
      </c>
      <c r="G188" s="198">
        <v>37</v>
      </c>
      <c r="H188" s="199">
        <f t="shared" si="50"/>
        <v>7.2418230508197396</v>
      </c>
      <c r="I188" s="199">
        <f t="shared" si="63"/>
        <v>4.7305566459474955</v>
      </c>
      <c r="J188" s="200">
        <f t="shared" si="51"/>
        <v>175.03059590005734</v>
      </c>
      <c r="K188" s="201">
        <f t="shared" si="45"/>
        <v>267.94745288033039</v>
      </c>
      <c r="L188" s="202">
        <f t="shared" si="62"/>
        <v>-92.916856980273053</v>
      </c>
      <c r="M188" s="203">
        <f t="shared" si="52"/>
        <v>-5.0737372863962165</v>
      </c>
      <c r="N188" s="204">
        <f t="shared" si="53"/>
        <v>-97.990594266669262</v>
      </c>
      <c r="O188" s="203">
        <f t="shared" si="54"/>
        <v>0</v>
      </c>
      <c r="P188" s="203">
        <f t="shared" si="55"/>
        <v>0</v>
      </c>
      <c r="Q188" s="203">
        <v>0</v>
      </c>
      <c r="R188" s="204">
        <f t="shared" si="56"/>
        <v>-97.990594266669262</v>
      </c>
    </row>
    <row r="189" spans="1:18" x14ac:dyDescent="0.2">
      <c r="A189" s="161">
        <v>2</v>
      </c>
      <c r="B189" s="196">
        <f t="shared" si="49"/>
        <v>44593</v>
      </c>
      <c r="C189" s="216">
        <f t="shared" si="64"/>
        <v>44623</v>
      </c>
      <c r="D189" s="216">
        <f t="shared" si="64"/>
        <v>44642</v>
      </c>
      <c r="E189" s="205" t="s">
        <v>58</v>
      </c>
      <c r="F189" s="161">
        <v>9</v>
      </c>
      <c r="G189" s="198">
        <v>37</v>
      </c>
      <c r="H189" s="199">
        <f t="shared" si="50"/>
        <v>7.2418230508197396</v>
      </c>
      <c r="I189" s="199">
        <f t="shared" si="63"/>
        <v>4.7305566459474955</v>
      </c>
      <c r="J189" s="200">
        <f t="shared" si="51"/>
        <v>175.03059590005734</v>
      </c>
      <c r="K189" s="201">
        <f t="shared" si="45"/>
        <v>267.94745288033039</v>
      </c>
      <c r="L189" s="202">
        <f t="shared" si="62"/>
        <v>-92.916856980273053</v>
      </c>
      <c r="M189" s="203">
        <f t="shared" si="52"/>
        <v>-5.0737372863962165</v>
      </c>
      <c r="N189" s="204">
        <f t="shared" si="53"/>
        <v>-97.990594266669262</v>
      </c>
      <c r="O189" s="203">
        <f t="shared" si="54"/>
        <v>0</v>
      </c>
      <c r="P189" s="203">
        <f t="shared" si="55"/>
        <v>0</v>
      </c>
      <c r="Q189" s="203">
        <v>0</v>
      </c>
      <c r="R189" s="204">
        <f t="shared" si="56"/>
        <v>-97.990594266669262</v>
      </c>
    </row>
    <row r="190" spans="1:18" x14ac:dyDescent="0.2">
      <c r="A190" s="161">
        <v>3</v>
      </c>
      <c r="B190" s="196">
        <f t="shared" si="49"/>
        <v>44621</v>
      </c>
      <c r="C190" s="216">
        <f t="shared" si="64"/>
        <v>44656</v>
      </c>
      <c r="D190" s="216">
        <f t="shared" si="64"/>
        <v>44676</v>
      </c>
      <c r="E190" s="205" t="s">
        <v>58</v>
      </c>
      <c r="F190" s="161">
        <v>9</v>
      </c>
      <c r="G190" s="198">
        <v>25</v>
      </c>
      <c r="H190" s="199">
        <f t="shared" si="50"/>
        <v>7.2418230508197396</v>
      </c>
      <c r="I190" s="199">
        <f t="shared" si="63"/>
        <v>4.7305566459474955</v>
      </c>
      <c r="J190" s="200">
        <f t="shared" si="51"/>
        <v>118.26391614868739</v>
      </c>
      <c r="K190" s="201">
        <f t="shared" si="45"/>
        <v>181.04557627049348</v>
      </c>
      <c r="L190" s="202">
        <f>+J190-K190</f>
        <v>-62.781660121806098</v>
      </c>
      <c r="M190" s="203">
        <f t="shared" si="52"/>
        <v>-3.4282008691866328</v>
      </c>
      <c r="N190" s="204">
        <f t="shared" si="53"/>
        <v>-66.209860990992738</v>
      </c>
      <c r="O190" s="203">
        <f t="shared" si="54"/>
        <v>0</v>
      </c>
      <c r="P190" s="203">
        <f t="shared" si="55"/>
        <v>0</v>
      </c>
      <c r="Q190" s="203">
        <v>0</v>
      </c>
      <c r="R190" s="204">
        <f t="shared" si="56"/>
        <v>-66.209860990992738</v>
      </c>
    </row>
    <row r="191" spans="1:18" x14ac:dyDescent="0.2">
      <c r="A191" s="125">
        <v>4</v>
      </c>
      <c r="B191" s="196">
        <f t="shared" si="49"/>
        <v>44652</v>
      </c>
      <c r="C191" s="216">
        <f t="shared" si="64"/>
        <v>44685</v>
      </c>
      <c r="D191" s="216">
        <f t="shared" si="64"/>
        <v>44705</v>
      </c>
      <c r="E191" s="54" t="s">
        <v>58</v>
      </c>
      <c r="F191" s="161">
        <v>9</v>
      </c>
      <c r="G191" s="198">
        <v>31</v>
      </c>
      <c r="H191" s="199">
        <f t="shared" si="50"/>
        <v>7.2418230508197396</v>
      </c>
      <c r="I191" s="199">
        <f t="shared" si="63"/>
        <v>4.7305566459474955</v>
      </c>
      <c r="J191" s="200">
        <f t="shared" si="51"/>
        <v>146.64725602437235</v>
      </c>
      <c r="K191" s="201">
        <f t="shared" si="45"/>
        <v>224.49651457541194</v>
      </c>
      <c r="L191" s="202">
        <f t="shared" ref="L191:L201" si="65">+J191-K191</f>
        <v>-77.849258551039583</v>
      </c>
      <c r="M191" s="203">
        <f t="shared" si="52"/>
        <v>-4.2509690777914244</v>
      </c>
      <c r="N191" s="204">
        <f t="shared" si="53"/>
        <v>-82.100227628831007</v>
      </c>
      <c r="O191" s="203">
        <f t="shared" si="54"/>
        <v>0</v>
      </c>
      <c r="P191" s="203">
        <f t="shared" si="55"/>
        <v>0</v>
      </c>
      <c r="Q191" s="203">
        <v>0</v>
      </c>
      <c r="R191" s="204">
        <f t="shared" si="56"/>
        <v>-82.100227628831007</v>
      </c>
    </row>
    <row r="192" spans="1:18" x14ac:dyDescent="0.2">
      <c r="A192" s="161">
        <v>5</v>
      </c>
      <c r="B192" s="196">
        <f t="shared" si="49"/>
        <v>44682</v>
      </c>
      <c r="C192" s="216">
        <f t="shared" si="64"/>
        <v>44715</v>
      </c>
      <c r="D192" s="216">
        <f t="shared" si="64"/>
        <v>44735</v>
      </c>
      <c r="E192" s="54" t="s">
        <v>58</v>
      </c>
      <c r="F192" s="161">
        <v>9</v>
      </c>
      <c r="G192" s="198">
        <v>40</v>
      </c>
      <c r="H192" s="199">
        <f t="shared" si="50"/>
        <v>7.2418230508197396</v>
      </c>
      <c r="I192" s="199">
        <f t="shared" si="63"/>
        <v>4.7305566459474955</v>
      </c>
      <c r="J192" s="200">
        <f t="shared" si="51"/>
        <v>189.22226583789981</v>
      </c>
      <c r="K192" s="201">
        <f t="shared" si="45"/>
        <v>289.67292203278959</v>
      </c>
      <c r="L192" s="202">
        <f t="shared" si="65"/>
        <v>-100.45065619488977</v>
      </c>
      <c r="M192" s="203">
        <f t="shared" si="52"/>
        <v>-5.4851213906986125</v>
      </c>
      <c r="N192" s="204">
        <f t="shared" si="53"/>
        <v>-105.93577758558838</v>
      </c>
      <c r="O192" s="203">
        <f t="shared" si="54"/>
        <v>0</v>
      </c>
      <c r="P192" s="203">
        <f t="shared" si="55"/>
        <v>0</v>
      </c>
      <c r="Q192" s="203">
        <v>0</v>
      </c>
      <c r="R192" s="204">
        <f t="shared" si="56"/>
        <v>-105.93577758558838</v>
      </c>
    </row>
    <row r="193" spans="1:18" x14ac:dyDescent="0.2">
      <c r="A193" s="161">
        <v>6</v>
      </c>
      <c r="B193" s="196">
        <f t="shared" si="49"/>
        <v>44713</v>
      </c>
      <c r="C193" s="216">
        <f t="shared" si="64"/>
        <v>44747</v>
      </c>
      <c r="D193" s="216">
        <f t="shared" si="64"/>
        <v>44767</v>
      </c>
      <c r="E193" s="54" t="s">
        <v>58</v>
      </c>
      <c r="F193" s="161">
        <v>9</v>
      </c>
      <c r="G193" s="198">
        <v>48</v>
      </c>
      <c r="H193" s="199">
        <f t="shared" si="50"/>
        <v>7.2418230508197396</v>
      </c>
      <c r="I193" s="199">
        <f t="shared" si="63"/>
        <v>4.7305566459474955</v>
      </c>
      <c r="J193" s="200">
        <f t="shared" si="51"/>
        <v>227.0667190054798</v>
      </c>
      <c r="K193" s="201">
        <f t="shared" si="45"/>
        <v>347.6075064393475</v>
      </c>
      <c r="L193" s="206">
        <f t="shared" si="65"/>
        <v>-120.54078743386771</v>
      </c>
      <c r="M193" s="203">
        <f t="shared" si="52"/>
        <v>-6.5821456688383346</v>
      </c>
      <c r="N193" s="204">
        <f t="shared" si="53"/>
        <v>-127.12293310270604</v>
      </c>
      <c r="O193" s="203">
        <f t="shared" si="54"/>
        <v>0</v>
      </c>
      <c r="P193" s="203">
        <f t="shared" si="55"/>
        <v>0</v>
      </c>
      <c r="Q193" s="203">
        <v>0</v>
      </c>
      <c r="R193" s="204">
        <f t="shared" si="56"/>
        <v>-127.12293310270604</v>
      </c>
    </row>
    <row r="194" spans="1:18" x14ac:dyDescent="0.2">
      <c r="A194" s="125">
        <v>7</v>
      </c>
      <c r="B194" s="196">
        <f t="shared" si="49"/>
        <v>44743</v>
      </c>
      <c r="C194" s="216">
        <f t="shared" si="64"/>
        <v>44776</v>
      </c>
      <c r="D194" s="216">
        <f t="shared" si="64"/>
        <v>44796</v>
      </c>
      <c r="E194" s="54" t="s">
        <v>58</v>
      </c>
      <c r="F194" s="161">
        <v>9</v>
      </c>
      <c r="G194" s="198">
        <v>52</v>
      </c>
      <c r="H194" s="199">
        <f t="shared" si="50"/>
        <v>7.2418230508197396</v>
      </c>
      <c r="I194" s="199">
        <f t="shared" si="63"/>
        <v>4.7305566459474955</v>
      </c>
      <c r="J194" s="200">
        <f t="shared" si="51"/>
        <v>245.98894558926978</v>
      </c>
      <c r="K194" s="207">
        <f t="shared" si="45"/>
        <v>376.57479864262643</v>
      </c>
      <c r="L194" s="206">
        <f t="shared" si="65"/>
        <v>-130.58585305335666</v>
      </c>
      <c r="M194" s="203">
        <f t="shared" si="52"/>
        <v>-7.1306578079081957</v>
      </c>
      <c r="N194" s="204">
        <f t="shared" si="53"/>
        <v>-137.71651086126485</v>
      </c>
      <c r="O194" s="203">
        <f t="shared" si="54"/>
        <v>0</v>
      </c>
      <c r="P194" s="203">
        <f t="shared" si="55"/>
        <v>0</v>
      </c>
      <c r="Q194" s="203">
        <v>0</v>
      </c>
      <c r="R194" s="204">
        <f t="shared" si="56"/>
        <v>-137.71651086126485</v>
      </c>
    </row>
    <row r="195" spans="1:18" x14ac:dyDescent="0.2">
      <c r="A195" s="161">
        <v>8</v>
      </c>
      <c r="B195" s="196">
        <f t="shared" si="49"/>
        <v>44774</v>
      </c>
      <c r="C195" s="216">
        <f t="shared" si="64"/>
        <v>44809</v>
      </c>
      <c r="D195" s="216">
        <f t="shared" si="64"/>
        <v>44827</v>
      </c>
      <c r="E195" s="54" t="s">
        <v>58</v>
      </c>
      <c r="F195" s="161">
        <v>9</v>
      </c>
      <c r="G195" s="198">
        <v>50</v>
      </c>
      <c r="H195" s="199">
        <f t="shared" si="50"/>
        <v>7.2418230508197396</v>
      </c>
      <c r="I195" s="199">
        <f t="shared" si="63"/>
        <v>4.7305566459474955</v>
      </c>
      <c r="J195" s="200">
        <f t="shared" si="51"/>
        <v>236.52783229737477</v>
      </c>
      <c r="K195" s="207">
        <f t="shared" si="45"/>
        <v>362.09115254098697</v>
      </c>
      <c r="L195" s="206">
        <f t="shared" si="65"/>
        <v>-125.5633202436122</v>
      </c>
      <c r="M195" s="203">
        <f t="shared" si="52"/>
        <v>-6.8564017383732656</v>
      </c>
      <c r="N195" s="204">
        <f t="shared" si="53"/>
        <v>-132.41972198198548</v>
      </c>
      <c r="O195" s="203">
        <f t="shared" si="54"/>
        <v>0</v>
      </c>
      <c r="P195" s="203">
        <f t="shared" si="55"/>
        <v>0</v>
      </c>
      <c r="Q195" s="203">
        <v>0</v>
      </c>
      <c r="R195" s="204">
        <f t="shared" si="56"/>
        <v>-132.41972198198548</v>
      </c>
    </row>
    <row r="196" spans="1:18" x14ac:dyDescent="0.2">
      <c r="A196" s="161">
        <v>9</v>
      </c>
      <c r="B196" s="196">
        <f t="shared" si="49"/>
        <v>44805</v>
      </c>
      <c r="C196" s="216">
        <f t="shared" si="64"/>
        <v>44839</v>
      </c>
      <c r="D196" s="216">
        <f t="shared" si="64"/>
        <v>44859</v>
      </c>
      <c r="E196" s="54" t="s">
        <v>58</v>
      </c>
      <c r="F196" s="161">
        <v>9</v>
      </c>
      <c r="G196" s="198">
        <v>47</v>
      </c>
      <c r="H196" s="199">
        <f t="shared" si="50"/>
        <v>7.2418230508197396</v>
      </c>
      <c r="I196" s="199">
        <f t="shared" si="63"/>
        <v>4.7305566459474955</v>
      </c>
      <c r="J196" s="200">
        <f t="shared" si="51"/>
        <v>222.3361623595323</v>
      </c>
      <c r="K196" s="207">
        <f t="shared" si="45"/>
        <v>340.36568338852777</v>
      </c>
      <c r="L196" s="206">
        <f t="shared" si="65"/>
        <v>-118.02952102899548</v>
      </c>
      <c r="M196" s="203">
        <f t="shared" si="52"/>
        <v>-6.4450176340708696</v>
      </c>
      <c r="N196" s="204">
        <f t="shared" si="53"/>
        <v>-124.47453866306634</v>
      </c>
      <c r="O196" s="203">
        <f t="shared" si="54"/>
        <v>0</v>
      </c>
      <c r="P196" s="203">
        <f t="shared" si="55"/>
        <v>0</v>
      </c>
      <c r="Q196" s="203">
        <v>0</v>
      </c>
      <c r="R196" s="204">
        <f t="shared" si="56"/>
        <v>-124.47453866306634</v>
      </c>
    </row>
    <row r="197" spans="1:18" x14ac:dyDescent="0.2">
      <c r="A197" s="125">
        <v>10</v>
      </c>
      <c r="B197" s="196">
        <f t="shared" si="49"/>
        <v>44835</v>
      </c>
      <c r="C197" s="216">
        <f t="shared" si="64"/>
        <v>44868</v>
      </c>
      <c r="D197" s="216">
        <f t="shared" si="64"/>
        <v>44888</v>
      </c>
      <c r="E197" s="54" t="s">
        <v>58</v>
      </c>
      <c r="F197" s="161">
        <v>9</v>
      </c>
      <c r="G197" s="198">
        <v>35</v>
      </c>
      <c r="H197" s="199">
        <f t="shared" si="50"/>
        <v>7.2418230508197396</v>
      </c>
      <c r="I197" s="199">
        <f t="shared" si="63"/>
        <v>4.7305566459474955</v>
      </c>
      <c r="J197" s="200">
        <f t="shared" si="51"/>
        <v>165.56948260816233</v>
      </c>
      <c r="K197" s="207">
        <f t="shared" si="45"/>
        <v>253.46380677869089</v>
      </c>
      <c r="L197" s="206">
        <f t="shared" si="65"/>
        <v>-87.894324170528563</v>
      </c>
      <c r="M197" s="203">
        <f t="shared" si="52"/>
        <v>-4.7994812168612855</v>
      </c>
      <c r="N197" s="204">
        <f t="shared" si="53"/>
        <v>-92.693805387389844</v>
      </c>
      <c r="O197" s="203">
        <f t="shared" si="54"/>
        <v>0</v>
      </c>
      <c r="P197" s="203">
        <f t="shared" si="55"/>
        <v>0</v>
      </c>
      <c r="Q197" s="203">
        <v>0</v>
      </c>
      <c r="R197" s="204">
        <f t="shared" si="56"/>
        <v>-92.693805387389844</v>
      </c>
    </row>
    <row r="198" spans="1:18" x14ac:dyDescent="0.2">
      <c r="A198" s="161">
        <v>11</v>
      </c>
      <c r="B198" s="196">
        <f t="shared" si="49"/>
        <v>44866</v>
      </c>
      <c r="C198" s="216">
        <f t="shared" si="64"/>
        <v>44900</v>
      </c>
      <c r="D198" s="216">
        <f t="shared" si="64"/>
        <v>44918</v>
      </c>
      <c r="E198" s="54" t="s">
        <v>58</v>
      </c>
      <c r="F198" s="161">
        <v>9</v>
      </c>
      <c r="G198" s="198">
        <v>34</v>
      </c>
      <c r="H198" s="199">
        <f t="shared" si="50"/>
        <v>7.2418230508197396</v>
      </c>
      <c r="I198" s="199">
        <f t="shared" si="63"/>
        <v>4.7305566459474955</v>
      </c>
      <c r="J198" s="200">
        <f t="shared" si="51"/>
        <v>160.83892596221486</v>
      </c>
      <c r="K198" s="207">
        <f t="shared" ref="K198:K209" si="66">+$G198*H198</f>
        <v>246.22198372787113</v>
      </c>
      <c r="L198" s="206">
        <f t="shared" si="65"/>
        <v>-85.383057765656275</v>
      </c>
      <c r="M198" s="203">
        <f t="shared" si="52"/>
        <v>-4.6623531820938213</v>
      </c>
      <c r="N198" s="204">
        <f t="shared" si="53"/>
        <v>-90.045410947750099</v>
      </c>
      <c r="O198" s="203">
        <f t="shared" si="54"/>
        <v>0</v>
      </c>
      <c r="P198" s="203">
        <f t="shared" si="55"/>
        <v>0</v>
      </c>
      <c r="Q198" s="203">
        <v>0</v>
      </c>
      <c r="R198" s="204">
        <f t="shared" si="56"/>
        <v>-90.045410947750099</v>
      </c>
    </row>
    <row r="199" spans="1:18" s="220" customFormat="1" x14ac:dyDescent="0.2">
      <c r="A199" s="161">
        <v>12</v>
      </c>
      <c r="B199" s="218">
        <f t="shared" si="49"/>
        <v>44896</v>
      </c>
      <c r="C199" s="216">
        <f t="shared" si="64"/>
        <v>44930</v>
      </c>
      <c r="D199" s="216">
        <f t="shared" si="64"/>
        <v>44950</v>
      </c>
      <c r="E199" s="219" t="s">
        <v>58</v>
      </c>
      <c r="F199" s="172">
        <v>9</v>
      </c>
      <c r="G199" s="198">
        <v>34</v>
      </c>
      <c r="H199" s="208">
        <f t="shared" si="50"/>
        <v>7.2418230508197396</v>
      </c>
      <c r="I199" s="208">
        <f t="shared" si="63"/>
        <v>4.7305566459474955</v>
      </c>
      <c r="J199" s="209">
        <f t="shared" si="51"/>
        <v>160.83892596221486</v>
      </c>
      <c r="K199" s="210">
        <f t="shared" si="66"/>
        <v>246.22198372787113</v>
      </c>
      <c r="L199" s="211">
        <f t="shared" si="65"/>
        <v>-85.383057765656275</v>
      </c>
      <c r="M199" s="203">
        <f t="shared" si="52"/>
        <v>-4.6623531820938213</v>
      </c>
      <c r="N199" s="204">
        <f t="shared" si="53"/>
        <v>-90.045410947750099</v>
      </c>
      <c r="O199" s="203">
        <f t="shared" si="54"/>
        <v>0</v>
      </c>
      <c r="P199" s="203">
        <f t="shared" si="55"/>
        <v>0</v>
      </c>
      <c r="Q199" s="203">
        <v>0</v>
      </c>
      <c r="R199" s="204">
        <f t="shared" si="56"/>
        <v>-90.045410947750099</v>
      </c>
    </row>
    <row r="200" spans="1:18" x14ac:dyDescent="0.2">
      <c r="A200" s="125">
        <v>1</v>
      </c>
      <c r="B200" s="196">
        <f t="shared" si="49"/>
        <v>44562</v>
      </c>
      <c r="C200" s="213">
        <f t="shared" si="64"/>
        <v>44595</v>
      </c>
      <c r="D200" s="213">
        <f t="shared" si="64"/>
        <v>44615</v>
      </c>
      <c r="E200" s="197" t="s">
        <v>17</v>
      </c>
      <c r="F200" s="125">
        <v>9</v>
      </c>
      <c r="G200" s="198">
        <v>106</v>
      </c>
      <c r="H200" s="199">
        <f t="shared" si="50"/>
        <v>7.2418230508197396</v>
      </c>
      <c r="I200" s="199">
        <f t="shared" si="63"/>
        <v>4.7305566459474955</v>
      </c>
      <c r="J200" s="200">
        <f t="shared" si="51"/>
        <v>501.4390044704345</v>
      </c>
      <c r="K200" s="201">
        <f t="shared" si="66"/>
        <v>767.63324338689245</v>
      </c>
      <c r="L200" s="202">
        <f t="shared" si="65"/>
        <v>-266.19423891645795</v>
      </c>
      <c r="M200" s="203">
        <f t="shared" si="52"/>
        <v>-14.535571685351323</v>
      </c>
      <c r="N200" s="204">
        <f t="shared" si="53"/>
        <v>-280.72981060180928</v>
      </c>
      <c r="O200" s="203">
        <f t="shared" si="54"/>
        <v>0</v>
      </c>
      <c r="P200" s="203">
        <f t="shared" si="55"/>
        <v>0</v>
      </c>
      <c r="Q200" s="203">
        <v>0</v>
      </c>
      <c r="R200" s="204">
        <f t="shared" si="56"/>
        <v>-280.72981060180928</v>
      </c>
    </row>
    <row r="201" spans="1:18" x14ac:dyDescent="0.2">
      <c r="A201" s="161">
        <v>2</v>
      </c>
      <c r="B201" s="196">
        <f t="shared" si="49"/>
        <v>44593</v>
      </c>
      <c r="C201" s="216">
        <f t="shared" si="64"/>
        <v>44623</v>
      </c>
      <c r="D201" s="216">
        <f t="shared" si="64"/>
        <v>44642</v>
      </c>
      <c r="E201" s="205" t="s">
        <v>17</v>
      </c>
      <c r="F201" s="161">
        <v>9</v>
      </c>
      <c r="G201" s="198">
        <v>101</v>
      </c>
      <c r="H201" s="199">
        <f t="shared" si="50"/>
        <v>7.2418230508197396</v>
      </c>
      <c r="I201" s="199">
        <f t="shared" si="63"/>
        <v>4.7305566459474955</v>
      </c>
      <c r="J201" s="200">
        <f t="shared" si="51"/>
        <v>477.78622124069705</v>
      </c>
      <c r="K201" s="201">
        <f t="shared" si="66"/>
        <v>731.42412813279373</v>
      </c>
      <c r="L201" s="202">
        <f t="shared" si="65"/>
        <v>-253.63790689209668</v>
      </c>
      <c r="M201" s="203">
        <f t="shared" si="52"/>
        <v>-13.849931511513995</v>
      </c>
      <c r="N201" s="204">
        <f t="shared" si="53"/>
        <v>-267.48783840361068</v>
      </c>
      <c r="O201" s="203">
        <f t="shared" si="54"/>
        <v>0</v>
      </c>
      <c r="P201" s="203">
        <f t="shared" si="55"/>
        <v>0</v>
      </c>
      <c r="Q201" s="203">
        <v>0</v>
      </c>
      <c r="R201" s="204">
        <f t="shared" si="56"/>
        <v>-267.48783840361068</v>
      </c>
    </row>
    <row r="202" spans="1:18" x14ac:dyDescent="0.2">
      <c r="A202" s="161">
        <v>3</v>
      </c>
      <c r="B202" s="196">
        <f t="shared" si="49"/>
        <v>44621</v>
      </c>
      <c r="C202" s="216">
        <f t="shared" si="64"/>
        <v>44656</v>
      </c>
      <c r="D202" s="216">
        <f t="shared" si="64"/>
        <v>44676</v>
      </c>
      <c r="E202" s="205" t="s">
        <v>17</v>
      </c>
      <c r="F202" s="161">
        <v>9</v>
      </c>
      <c r="G202" s="198">
        <v>97</v>
      </c>
      <c r="H202" s="199">
        <f t="shared" si="50"/>
        <v>7.2418230508197396</v>
      </c>
      <c r="I202" s="199">
        <f t="shared" si="63"/>
        <v>4.7305566459474955</v>
      </c>
      <c r="J202" s="200">
        <f t="shared" si="51"/>
        <v>458.86399465690704</v>
      </c>
      <c r="K202" s="201">
        <f t="shared" si="66"/>
        <v>702.4568359295148</v>
      </c>
      <c r="L202" s="202">
        <f>+J202-K202</f>
        <v>-243.59284127260776</v>
      </c>
      <c r="M202" s="203">
        <f t="shared" si="52"/>
        <v>-13.301419372444135</v>
      </c>
      <c r="N202" s="204">
        <f t="shared" si="53"/>
        <v>-256.89426064505187</v>
      </c>
      <c r="O202" s="203">
        <f t="shared" si="54"/>
        <v>0</v>
      </c>
      <c r="P202" s="203">
        <f t="shared" si="55"/>
        <v>0</v>
      </c>
      <c r="Q202" s="203">
        <v>0</v>
      </c>
      <c r="R202" s="204">
        <f t="shared" si="56"/>
        <v>-256.89426064505187</v>
      </c>
    </row>
    <row r="203" spans="1:18" x14ac:dyDescent="0.2">
      <c r="A203" s="125">
        <v>4</v>
      </c>
      <c r="B203" s="196">
        <f t="shared" si="49"/>
        <v>44652</v>
      </c>
      <c r="C203" s="216">
        <f t="shared" si="64"/>
        <v>44685</v>
      </c>
      <c r="D203" s="216">
        <f t="shared" si="64"/>
        <v>44705</v>
      </c>
      <c r="E203" s="205" t="s">
        <v>17</v>
      </c>
      <c r="F203" s="161">
        <v>9</v>
      </c>
      <c r="G203" s="198">
        <v>98</v>
      </c>
      <c r="H203" s="199">
        <f t="shared" si="50"/>
        <v>7.2418230508197396</v>
      </c>
      <c r="I203" s="199">
        <f t="shared" si="63"/>
        <v>4.7305566459474955</v>
      </c>
      <c r="J203" s="200">
        <f t="shared" si="51"/>
        <v>463.59455130285454</v>
      </c>
      <c r="K203" s="201">
        <f t="shared" si="66"/>
        <v>709.69865898033447</v>
      </c>
      <c r="L203" s="202">
        <f t="shared" ref="L203:L211" si="67">+J203-K203</f>
        <v>-246.10410767747993</v>
      </c>
      <c r="M203" s="203">
        <f t="shared" si="52"/>
        <v>-13.438547407211601</v>
      </c>
      <c r="N203" s="204">
        <f t="shared" si="53"/>
        <v>-259.54265508469155</v>
      </c>
      <c r="O203" s="203">
        <f t="shared" si="54"/>
        <v>0</v>
      </c>
      <c r="P203" s="203">
        <f t="shared" si="55"/>
        <v>0</v>
      </c>
      <c r="Q203" s="203">
        <v>0</v>
      </c>
      <c r="R203" s="204">
        <f t="shared" si="56"/>
        <v>-259.54265508469155</v>
      </c>
    </row>
    <row r="204" spans="1:18" x14ac:dyDescent="0.2">
      <c r="A204" s="161">
        <v>5</v>
      </c>
      <c r="B204" s="196">
        <f t="shared" si="49"/>
        <v>44682</v>
      </c>
      <c r="C204" s="216">
        <f t="shared" si="64"/>
        <v>44715</v>
      </c>
      <c r="D204" s="216">
        <f t="shared" si="64"/>
        <v>44735</v>
      </c>
      <c r="E204" s="54" t="s">
        <v>17</v>
      </c>
      <c r="F204" s="161">
        <v>9</v>
      </c>
      <c r="G204" s="198">
        <v>104</v>
      </c>
      <c r="H204" s="199">
        <f t="shared" si="50"/>
        <v>7.2418230508197396</v>
      </c>
      <c r="I204" s="199">
        <f t="shared" si="63"/>
        <v>4.7305566459474955</v>
      </c>
      <c r="J204" s="200">
        <f t="shared" si="51"/>
        <v>491.97789117853955</v>
      </c>
      <c r="K204" s="201">
        <f t="shared" si="66"/>
        <v>753.14959728525287</v>
      </c>
      <c r="L204" s="202">
        <f t="shared" si="67"/>
        <v>-261.17170610671332</v>
      </c>
      <c r="M204" s="203">
        <f t="shared" si="52"/>
        <v>-14.261315615816391</v>
      </c>
      <c r="N204" s="204">
        <f t="shared" si="53"/>
        <v>-275.4330217225297</v>
      </c>
      <c r="O204" s="203">
        <f t="shared" si="54"/>
        <v>0</v>
      </c>
      <c r="P204" s="203">
        <f t="shared" si="55"/>
        <v>0</v>
      </c>
      <c r="Q204" s="203">
        <v>0</v>
      </c>
      <c r="R204" s="204">
        <f t="shared" si="56"/>
        <v>-275.4330217225297</v>
      </c>
    </row>
    <row r="205" spans="1:18" x14ac:dyDescent="0.2">
      <c r="A205" s="161">
        <v>6</v>
      </c>
      <c r="B205" s="196">
        <f t="shared" si="49"/>
        <v>44713</v>
      </c>
      <c r="C205" s="216">
        <f t="shared" si="64"/>
        <v>44747</v>
      </c>
      <c r="D205" s="216">
        <f t="shared" si="64"/>
        <v>44767</v>
      </c>
      <c r="E205" s="54" t="s">
        <v>17</v>
      </c>
      <c r="F205" s="161">
        <v>9</v>
      </c>
      <c r="G205" s="198">
        <v>115</v>
      </c>
      <c r="H205" s="199">
        <f t="shared" si="50"/>
        <v>7.2418230508197396</v>
      </c>
      <c r="I205" s="199">
        <f t="shared" si="63"/>
        <v>4.7305566459474955</v>
      </c>
      <c r="J205" s="200">
        <f t="shared" si="51"/>
        <v>544.01401428396196</v>
      </c>
      <c r="K205" s="201">
        <f t="shared" si="66"/>
        <v>832.8096508442701</v>
      </c>
      <c r="L205" s="206">
        <f t="shared" si="67"/>
        <v>-288.79563656030814</v>
      </c>
      <c r="M205" s="203">
        <f t="shared" si="52"/>
        <v>-15.769723998258513</v>
      </c>
      <c r="N205" s="204">
        <f t="shared" si="53"/>
        <v>-304.56536055856668</v>
      </c>
      <c r="O205" s="203">
        <f t="shared" si="54"/>
        <v>0</v>
      </c>
      <c r="P205" s="203">
        <f t="shared" si="55"/>
        <v>0</v>
      </c>
      <c r="Q205" s="203">
        <v>0</v>
      </c>
      <c r="R205" s="204">
        <f t="shared" si="56"/>
        <v>-304.56536055856668</v>
      </c>
    </row>
    <row r="206" spans="1:18" x14ac:dyDescent="0.2">
      <c r="A206" s="125">
        <v>7</v>
      </c>
      <c r="B206" s="196">
        <f t="shared" si="49"/>
        <v>44743</v>
      </c>
      <c r="C206" s="216">
        <f t="shared" si="64"/>
        <v>44776</v>
      </c>
      <c r="D206" s="216">
        <f t="shared" si="64"/>
        <v>44796</v>
      </c>
      <c r="E206" s="54" t="s">
        <v>17</v>
      </c>
      <c r="F206" s="161">
        <v>9</v>
      </c>
      <c r="G206" s="198">
        <v>42</v>
      </c>
      <c r="H206" s="199">
        <f t="shared" si="50"/>
        <v>7.2418230508197396</v>
      </c>
      <c r="I206" s="199">
        <f t="shared" si="63"/>
        <v>4.7305566459474955</v>
      </c>
      <c r="J206" s="200">
        <f t="shared" si="51"/>
        <v>198.68337912979482</v>
      </c>
      <c r="K206" s="207">
        <f t="shared" si="66"/>
        <v>304.15656813442905</v>
      </c>
      <c r="L206" s="206">
        <f t="shared" si="67"/>
        <v>-105.47318900463424</v>
      </c>
      <c r="M206" s="203">
        <f t="shared" si="52"/>
        <v>-5.7593774602335435</v>
      </c>
      <c r="N206" s="204">
        <f t="shared" si="53"/>
        <v>-111.23256646486777</v>
      </c>
      <c r="O206" s="203">
        <f t="shared" si="54"/>
        <v>0</v>
      </c>
      <c r="P206" s="203">
        <f t="shared" si="55"/>
        <v>0</v>
      </c>
      <c r="Q206" s="203">
        <v>0</v>
      </c>
      <c r="R206" s="204">
        <f t="shared" si="56"/>
        <v>-111.23256646486777</v>
      </c>
    </row>
    <row r="207" spans="1:18" x14ac:dyDescent="0.2">
      <c r="A207" s="161">
        <v>8</v>
      </c>
      <c r="B207" s="196">
        <f t="shared" si="49"/>
        <v>44774</v>
      </c>
      <c r="C207" s="216">
        <f t="shared" si="64"/>
        <v>44809</v>
      </c>
      <c r="D207" s="216">
        <f t="shared" si="64"/>
        <v>44827</v>
      </c>
      <c r="E207" s="54" t="s">
        <v>17</v>
      </c>
      <c r="F207" s="161">
        <v>9</v>
      </c>
      <c r="G207" s="198">
        <v>41</v>
      </c>
      <c r="H207" s="199">
        <f t="shared" si="50"/>
        <v>7.2418230508197396</v>
      </c>
      <c r="I207" s="199">
        <f t="shared" si="63"/>
        <v>4.7305566459474955</v>
      </c>
      <c r="J207" s="200">
        <f t="shared" si="51"/>
        <v>193.95282248384731</v>
      </c>
      <c r="K207" s="207">
        <f t="shared" si="66"/>
        <v>296.91474508360932</v>
      </c>
      <c r="L207" s="206">
        <f t="shared" si="67"/>
        <v>-102.961922599762</v>
      </c>
      <c r="M207" s="203">
        <f t="shared" si="52"/>
        <v>-5.6222494254660775</v>
      </c>
      <c r="N207" s="204">
        <f t="shared" si="53"/>
        <v>-108.58417202522809</v>
      </c>
      <c r="O207" s="203">
        <f t="shared" si="54"/>
        <v>0</v>
      </c>
      <c r="P207" s="203">
        <f t="shared" si="55"/>
        <v>0</v>
      </c>
      <c r="Q207" s="203">
        <v>0</v>
      </c>
      <c r="R207" s="204">
        <f t="shared" si="56"/>
        <v>-108.58417202522809</v>
      </c>
    </row>
    <row r="208" spans="1:18" x14ac:dyDescent="0.2">
      <c r="A208" s="161">
        <v>9</v>
      </c>
      <c r="B208" s="196">
        <f t="shared" si="49"/>
        <v>44805</v>
      </c>
      <c r="C208" s="216">
        <f t="shared" si="64"/>
        <v>44839</v>
      </c>
      <c r="D208" s="216">
        <f t="shared" si="64"/>
        <v>44859</v>
      </c>
      <c r="E208" s="54" t="s">
        <v>17</v>
      </c>
      <c r="F208" s="161">
        <v>9</v>
      </c>
      <c r="G208" s="198">
        <v>115</v>
      </c>
      <c r="H208" s="199">
        <f t="shared" si="50"/>
        <v>7.2418230508197396</v>
      </c>
      <c r="I208" s="199">
        <f t="shared" si="63"/>
        <v>4.7305566459474955</v>
      </c>
      <c r="J208" s="200">
        <f t="shared" si="51"/>
        <v>544.01401428396196</v>
      </c>
      <c r="K208" s="207">
        <f t="shared" si="66"/>
        <v>832.8096508442701</v>
      </c>
      <c r="L208" s="206">
        <f t="shared" si="67"/>
        <v>-288.79563656030814</v>
      </c>
      <c r="M208" s="203">
        <f t="shared" si="52"/>
        <v>-15.769723998258513</v>
      </c>
      <c r="N208" s="204">
        <f t="shared" si="53"/>
        <v>-304.56536055856668</v>
      </c>
      <c r="O208" s="203">
        <f t="shared" si="54"/>
        <v>0</v>
      </c>
      <c r="P208" s="203">
        <f t="shared" si="55"/>
        <v>0</v>
      </c>
      <c r="Q208" s="203">
        <v>0</v>
      </c>
      <c r="R208" s="204">
        <f t="shared" si="56"/>
        <v>-304.56536055856668</v>
      </c>
    </row>
    <row r="209" spans="1:18" x14ac:dyDescent="0.2">
      <c r="A209" s="125">
        <v>10</v>
      </c>
      <c r="B209" s="196">
        <f t="shared" si="49"/>
        <v>44835</v>
      </c>
      <c r="C209" s="216">
        <f t="shared" si="64"/>
        <v>44868</v>
      </c>
      <c r="D209" s="216">
        <f t="shared" si="64"/>
        <v>44888</v>
      </c>
      <c r="E209" s="54" t="s">
        <v>17</v>
      </c>
      <c r="F209" s="161">
        <v>9</v>
      </c>
      <c r="G209" s="198">
        <v>105</v>
      </c>
      <c r="H209" s="199">
        <f t="shared" si="50"/>
        <v>7.2418230508197396</v>
      </c>
      <c r="I209" s="199">
        <f t="shared" si="63"/>
        <v>4.7305566459474955</v>
      </c>
      <c r="J209" s="200">
        <f t="shared" si="51"/>
        <v>496.70844782448705</v>
      </c>
      <c r="K209" s="207">
        <f t="shared" si="66"/>
        <v>760.39142033607266</v>
      </c>
      <c r="L209" s="206">
        <f t="shared" si="67"/>
        <v>-263.6829725115856</v>
      </c>
      <c r="M209" s="203">
        <f t="shared" si="52"/>
        <v>-14.398443650583859</v>
      </c>
      <c r="N209" s="204">
        <f t="shared" si="53"/>
        <v>-278.08141616216949</v>
      </c>
      <c r="O209" s="203">
        <f t="shared" si="54"/>
        <v>0</v>
      </c>
      <c r="P209" s="203">
        <f t="shared" si="55"/>
        <v>0</v>
      </c>
      <c r="Q209" s="203">
        <v>0</v>
      </c>
      <c r="R209" s="204">
        <f t="shared" si="56"/>
        <v>-278.08141616216949</v>
      </c>
    </row>
    <row r="210" spans="1:18" x14ac:dyDescent="0.2">
      <c r="A210" s="161">
        <v>11</v>
      </c>
      <c r="B210" s="196">
        <f t="shared" si="49"/>
        <v>44866</v>
      </c>
      <c r="C210" s="216">
        <f t="shared" si="64"/>
        <v>44900</v>
      </c>
      <c r="D210" s="216">
        <f t="shared" si="64"/>
        <v>44918</v>
      </c>
      <c r="E210" s="54" t="s">
        <v>17</v>
      </c>
      <c r="F210" s="161">
        <v>9</v>
      </c>
      <c r="G210" s="198">
        <v>104</v>
      </c>
      <c r="H210" s="199">
        <f t="shared" si="50"/>
        <v>7.2418230508197396</v>
      </c>
      <c r="I210" s="199">
        <f t="shared" si="63"/>
        <v>4.7305566459474955</v>
      </c>
      <c r="J210" s="200">
        <f t="shared" si="51"/>
        <v>491.97789117853955</v>
      </c>
      <c r="K210" s="207">
        <f>+$G210*H210</f>
        <v>753.14959728525287</v>
      </c>
      <c r="L210" s="206">
        <f t="shared" si="67"/>
        <v>-261.17170610671332</v>
      </c>
      <c r="M210" s="203">
        <f t="shared" si="52"/>
        <v>-14.261315615816391</v>
      </c>
      <c r="N210" s="204">
        <f t="shared" si="53"/>
        <v>-275.4330217225297</v>
      </c>
      <c r="O210" s="203">
        <f t="shared" si="54"/>
        <v>0</v>
      </c>
      <c r="P210" s="203">
        <f t="shared" si="55"/>
        <v>0</v>
      </c>
      <c r="Q210" s="203">
        <v>0</v>
      </c>
      <c r="R210" s="204">
        <f t="shared" si="56"/>
        <v>-275.4330217225297</v>
      </c>
    </row>
    <row r="211" spans="1:18" s="220" customFormat="1" x14ac:dyDescent="0.2">
      <c r="A211" s="161">
        <v>12</v>
      </c>
      <c r="B211" s="218">
        <f t="shared" si="49"/>
        <v>44896</v>
      </c>
      <c r="C211" s="221">
        <f t="shared" si="64"/>
        <v>44930</v>
      </c>
      <c r="D211" s="221">
        <f t="shared" si="64"/>
        <v>44950</v>
      </c>
      <c r="E211" s="219" t="s">
        <v>17</v>
      </c>
      <c r="F211" s="172">
        <v>9</v>
      </c>
      <c r="G211" s="198">
        <v>104</v>
      </c>
      <c r="H211" s="208">
        <f t="shared" si="50"/>
        <v>7.2418230508197396</v>
      </c>
      <c r="I211" s="208">
        <f t="shared" si="63"/>
        <v>4.7305566459474955</v>
      </c>
      <c r="J211" s="209">
        <f t="shared" si="51"/>
        <v>491.97789117853955</v>
      </c>
      <c r="K211" s="210">
        <f>+$G211*H211</f>
        <v>753.14959728525287</v>
      </c>
      <c r="L211" s="211">
        <f t="shared" si="67"/>
        <v>-261.17170610671332</v>
      </c>
      <c r="M211" s="209">
        <f t="shared" si="52"/>
        <v>-14.261315615816391</v>
      </c>
      <c r="N211" s="204">
        <f t="shared" si="53"/>
        <v>-275.4330217225297</v>
      </c>
      <c r="O211" s="209">
        <f t="shared" si="54"/>
        <v>0</v>
      </c>
      <c r="P211" s="226">
        <f t="shared" si="55"/>
        <v>0</v>
      </c>
      <c r="Q211" s="203">
        <v>0</v>
      </c>
      <c r="R211" s="204">
        <f t="shared" si="56"/>
        <v>-275.4330217225297</v>
      </c>
    </row>
    <row r="212" spans="1:18" x14ac:dyDescent="0.2">
      <c r="G212" s="227">
        <f>SUM(G20:G211)</f>
        <v>104674</v>
      </c>
      <c r="H212" s="51"/>
      <c r="I212" s="51"/>
      <c r="J212" s="51">
        <f>SUM(J20:J211)</f>
        <v>495166.28635790781</v>
      </c>
      <c r="K212" s="51">
        <f>SUM(K20:K211)</f>
        <v>758030.58602150471</v>
      </c>
      <c r="L212" s="51">
        <f>SUM(L20:L211)</f>
        <v>-262864.29966359754</v>
      </c>
      <c r="M212" s="51">
        <f>SUM(M20:M211)</f>
        <v>-14353.739911249651</v>
      </c>
      <c r="N212" s="51"/>
      <c r="O212" s="51"/>
      <c r="P212" s="51">
        <f>SUM(P20:P211)</f>
        <v>0</v>
      </c>
      <c r="Q212" s="51"/>
      <c r="R212" s="228">
        <f>SUM(R20:R211)</f>
        <v>-277218.03957484686</v>
      </c>
    </row>
    <row r="213" spans="1:18" x14ac:dyDescent="0.2">
      <c r="P213" s="51"/>
      <c r="Q213" s="51"/>
    </row>
    <row r="220" spans="1:18" x14ac:dyDescent="0.2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joz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zo1N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DB602648-4C77-4990-94F7-6C9A49714C1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8E137EF-BC26-49F2-A0D2-8032B73F71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s349016</cp:lastModifiedBy>
  <cp:lastPrinted>2023-05-25T11:55:38Z</cp:lastPrinted>
  <dcterms:created xsi:type="dcterms:W3CDTF">2009-09-04T18:19:13Z</dcterms:created>
  <dcterms:modified xsi:type="dcterms:W3CDTF">2023-05-25T11:56:05Z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34117f76-9879-4d8e-89bd-ac1b4323c64e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{DB602648-4C77-4990-94F7-6C9A49714C17}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